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drawings/drawing4.xml" ContentType="application/vnd.openxmlformats-officedocument.drawingml.chartshapes+xml"/>
  <Override PartName="/xl/drawings/drawing5.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drawings/drawing13.xml" ContentType="application/vnd.openxmlformats-officedocument.drawingml.chartshapes+xml"/>
  <Override PartName="/xl/drawings/drawing14.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pivotTables/pivotTable2.xml" ContentType="application/vnd.openxmlformats-officedocument.spreadsheetml.pivotTable+xml"/>
  <Override PartName="/xl/drawings/drawing18.xml" ContentType="application/vnd.openxmlformats-officedocument.drawing+xml"/>
  <Override PartName="/xl/drawings/drawing1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drawings/drawing20.xml" ContentType="application/vnd.openxmlformats-officedocument.drawingml.chartshapes+xml"/>
  <Override PartName="/xl/charts/chart8.xml" ContentType="application/vnd.openxmlformats-officedocument.drawingml.chart+xml"/>
  <Override PartName="/xl/theme/themeOverride7.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23.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2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25.xml" ContentType="application/vnd.openxmlformats-officedocument.drawingml.chartshapes+xml"/>
  <Override PartName="/xl/charts/chart10.xml" ContentType="application/vnd.openxmlformats-officedocument.drawingml.chart+xml"/>
  <Override PartName="/xl/theme/themeOverride9.xml" ContentType="application/vnd.openxmlformats-officedocument.themeOverride+xml"/>
  <Override PartName="/xl/drawings/drawing26.xml" ContentType="application/vnd.openxmlformats-officedocument.drawingml.chartshapes+xml"/>
  <Override PartName="/xl/drawings/drawing27.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28.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drawings/drawing29.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pivotTables/pivotTable3.xml" ContentType="application/vnd.openxmlformats-officedocument.spreadsheetml.pivotTable+xml"/>
  <Override PartName="/xl/drawings/drawing3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hidePivotFieldList="1"/>
  <mc:AlternateContent xmlns:mc="http://schemas.openxmlformats.org/markup-compatibility/2006">
    <mc:Choice Requires="x15">
      <x15ac:absPath xmlns:x15ac="http://schemas.microsoft.com/office/spreadsheetml/2010/11/ac" url="https://snmo-my.sharepoint.com/personal/sofia_linder_mobilitysweden_se/Documents/Flyttat från Hemkatalogen/Documents BILSLR/NYREG SEPT 23/"/>
    </mc:Choice>
  </mc:AlternateContent>
  <xr:revisionPtr revIDLastSave="20" documentId="8_{458AF40B-906C-9F49-8EDC-45BE23E1D0DB}" xr6:coauthVersionLast="47" xr6:coauthVersionMax="47" xr10:uidLastSave="{D8D89291-2DCC-4845-AF93-792C3D1186B2}"/>
  <bookViews>
    <workbookView xWindow="1360" yWindow="500" windowWidth="28320" windowHeight="17500" tabRatio="773" xr2:uid="{00000000-000D-0000-FFFF-FFFF00000000}"/>
  </bookViews>
  <sheets>
    <sheet name="Innehåll" sheetId="1" r:id="rId1"/>
    <sheet name="A. Personbilar" sheetId="2" r:id="rId2"/>
    <sheet name="A.1 Rankinglista PB" sheetId="8" r:id="rId3"/>
    <sheet name="A.2 Fabrikat och modeller PB" sheetId="53" r:id="rId4"/>
    <sheet name="A.3 Generalagenter PB" sheetId="21" r:id="rId5"/>
    <sheet name="A.4 Drivmedel PB" sheetId="13" r:id="rId6"/>
    <sheet name="A.5 Laddbara PB" sheetId="10" r:id="rId7"/>
    <sheet name="A.51 Elbilar PB" sheetId="35" r:id="rId8"/>
    <sheet name="A.52 Laddhybrider PB" sheetId="36" r:id="rId9"/>
    <sheet name="A.7 Koldioxidutsläpp PB" sheetId="12" r:id="rId10"/>
    <sheet name="A.8 Fysiska-Juridiska" sheetId="16" r:id="rId11"/>
    <sheet name="B. Lastbilar" sheetId="20" r:id="rId12"/>
    <sheet name="B.1 Lätta lastbilar" sheetId="3" r:id="rId13"/>
    <sheet name="B.2 Fabrikat LLB" sheetId="17" r:id="rId14"/>
    <sheet name="B.3 Eldrivna LLB" sheetId="18" r:id="rId15"/>
    <sheet name="B.4 Tunga lastbilar" sheetId="4" r:id="rId16"/>
    <sheet name="B.5 Fabrikatlista TLB" sheetId="19" r:id="rId17"/>
    <sheet name="C. Bussar" sheetId="5" r:id="rId18"/>
    <sheet name="C.1 Eldrivna bussar" sheetId="11" r:id="rId19"/>
    <sheet name="C.2 Privatimporterade bussar" sheetId="26" r:id="rId20"/>
  </sheets>
  <definedNames>
    <definedName name="_xlnm._FilterDatabase" localSheetId="11" hidden="1">'B. Lastbilar'!$A$3:$A$12</definedName>
    <definedName name="AndelBensin">'A.4 Drivmedel PB'!$D$9</definedName>
    <definedName name="AndelBUSSYTD">getAggBussAll[[#Totals],[changeAret]]</definedName>
    <definedName name="AndelDiesel">'A.4 Drivmedel PB'!$D$11</definedName>
    <definedName name="AndelEl">Innehåll!$F$16</definedName>
    <definedName name="AndelELbilarYTD">getAggRechargeModels6[[#Totals],[changeAret]]</definedName>
    <definedName name="AndelELFGAR">'A.4 Drivmedel PB'!$E$8</definedName>
    <definedName name="AndelLaddbaraYTD">getAggRechargeModels[[#Totals],[changeAret]]</definedName>
    <definedName name="AndelLaddhybrid">Innehåll!$F$17</definedName>
    <definedName name="AndelLaddhybriderYTD">getAggRechargeModels619[[#Totals],[changeAret]]</definedName>
    <definedName name="AndelLaddhybridFGAR">'A.4 Drivmedel PB'!$E$10</definedName>
    <definedName name="AntalBUSSELFGAR">Table_bdsql12_BDnewRegistrations_getAggBussEL[[#Totals],[antalAretFG]]</definedName>
    <definedName name="AntalBUSSELYTD">Table_bdsql12_BDnewRegistrations_getAggBussEL[[#Totals],[antalAret]]</definedName>
    <definedName name="AntalBUSSYTD">getAggBussAll[[#Totals],[antalAret]]</definedName>
    <definedName name="AntalBUSSYTDFGAR">getAggBussAll[[#Totals],[antalAretFG]]</definedName>
    <definedName name="AntalElbilar">Innehåll!$F$14</definedName>
    <definedName name="AntalElbilarFGAr">'A.4 Drivmedel PB'!$C$8</definedName>
    <definedName name="AntalElbilarYTD">'A.4 Drivmedel PB'!$F$8</definedName>
    <definedName name="AntalElbilarYTDFGAR">'A.4 Drivmedel PB'!$G$8</definedName>
    <definedName name="AntalELBUSS">Table_bdsql12_BDnewRegistrations_getAggBussEL[[#Totals],[antalPerioden]]</definedName>
    <definedName name="AntalELBUSSFGAR">Table_bdsql12_BDnewRegistrations_getAggBussEL[[#Totals],[antalPeriodenFG]]</definedName>
    <definedName name="AntalLaddhybrider">Innehåll!$F$15</definedName>
    <definedName name="AntalLaddhybriderFGAr">'A.4 Drivmedel PB'!$C$10</definedName>
    <definedName name="AntalLaddhybriderYTD">'A.4 Drivmedel PB'!$F$10</definedName>
    <definedName name="AntalLaddhybriderYTDFGAR">'A.4 Drivmedel PB'!$H$10</definedName>
    <definedName name="AntalLBTotaltYTD">'B. Lastbilar'!$D$12</definedName>
    <definedName name="antalLBTotaltYTDFGAR">'B. Lastbilar'!$E$12</definedName>
    <definedName name="AntalLLBEL">Table_bdsql12_BDmodell_getAggModelsFuelTypeLB[[#Totals],[antalPerioden]]</definedName>
    <definedName name="AntalLLBELFGAR">Table_bdsql12_BDmodell_getAggModelsFuelTypeLB[[#Totals],[antalFGPeriod]]</definedName>
    <definedName name="AntalLLBELYTD">Table_bdsql12_BDmodell_getAggModelsFuelTypeLB[[#Totals],[antalÅret]]</definedName>
    <definedName name="AntalLLBELYTDFGAR">Table_bdsql12_BDmodell_getAggModelsFuelTypeLB[[#Totals],[antalFGAr]]</definedName>
    <definedName name="AntalLLBYTD">'B. Lastbilar'!$D$8</definedName>
    <definedName name="AntalLLBYTDFGAR">'B. Lastbilar'!$E$8</definedName>
    <definedName name="AntalTLBYTD">'B. Lastbilar'!$D$11</definedName>
    <definedName name="AntalTLBYTDFGAR">'B. Lastbilar'!$E$11</definedName>
    <definedName name="AntalTotaltYTD">getAggPBFuelTypes[[#Totals],[antalAret]]</definedName>
    <definedName name="AntalTotaltYTDFGAR">getAggPBFuelTypes[[#Totals],[antalAretFG]]</definedName>
    <definedName name="Aret">Innehåll!$D$77</definedName>
    <definedName name="bdsql12_BDmodell_getAggModelsFuelTypeLB" localSheetId="14" hidden="1">'B.3 Eldrivna LLB'!$A$7:$L$36</definedName>
    <definedName name="bdsql12_BDmodell_getAggRechargeModels_1" localSheetId="6" hidden="1">'A.5 Laddbara PB'!$A$41:$M$269</definedName>
    <definedName name="bdsql12_BDmodell_getAggRechargeModels_1" localSheetId="7" hidden="1">'A.51 Elbilar PB'!$A$39:$M$267</definedName>
    <definedName name="bdsql12_BDmodell_getAggRechargeModels_1" localSheetId="8" hidden="1">'A.52 Laddhybrider PB'!$A$40:$M$268</definedName>
    <definedName name="bdsql12_BDmodell_PB" localSheetId="2" hidden="1">'A.1 Rankinglista PB'!$A$7:$L$356</definedName>
    <definedName name="bdsql12_BDnewRegistrations_getAggBuss" localSheetId="17" hidden="1">'C. Bussar'!#REF!</definedName>
    <definedName name="bdsql12_BDnewRegistrations_getAggBussEL" localSheetId="18" hidden="1">'C.1 Eldrivna bussar'!$A$7:$I$14</definedName>
    <definedName name="bdsql12_BDnewRegistrations_getAggFysJur" localSheetId="10" hidden="1">'A.8 Fysiska-Juridiska'!$A$8:$Q$67</definedName>
    <definedName name="bdsql12_BDnewRegistrations_getAggMakes" localSheetId="13" hidden="1">'B.2 Fabrikat LLB'!$A$7:$I$32</definedName>
    <definedName name="bdsql12_BDnewRegistrations_getAggPBCO2Emissions" localSheetId="9" hidden="1">'A.7 Koldioxidutsläpp PB'!#REF!</definedName>
    <definedName name="bdsql12_BDnewRegistrations_getAggTotalCO2" localSheetId="9" hidden="1">'A.7 Koldioxidutsläpp PB'!#REF!</definedName>
    <definedName name="bdsql12_BDnewRegistrationsgetAggPBCO2EmissionsWLTP" localSheetId="9" hidden="1">'A.7 Koldioxidutsläpp PB'!$A$9:$G$17</definedName>
    <definedName name="bdsql12_Transportstyrelsen_sumPrelNyregImportPBTotaler_1" localSheetId="1" hidden="1">'A. Personbilar'!$Q$26:$T$29</definedName>
    <definedName name="CalcAvgCO2Man">'A.7 Koldioxidutsläpp PB'!#REF!</definedName>
    <definedName name="CalcAvgCO2Sum">'A.7 Koldioxidutsläpp PB'!#REF!</definedName>
    <definedName name="CalcAvgCO2YTD">'A.7 Koldioxidutsläpp PB'!#REF!</definedName>
    <definedName name="ChangeBUSSELYTD">Table_bdsql12_BDnewRegistrations_getAggBussEL[[#Totals],[changeAret]]</definedName>
    <definedName name="ChangeLLBELYTD">Table_bdsql12_BDmodell_getAggModelsFuelTypeLB[[#Totals],[changeAret]]</definedName>
    <definedName name="CntPeriod" localSheetId="3">'A.2 Fabrikat och modeller PB'!$E$420</definedName>
    <definedName name="CntPeriod">#REF!</definedName>
    <definedName name="CntPeriodPrevYear" localSheetId="3">'A.2 Fabrikat och modeller PB'!$F$420</definedName>
    <definedName name="CntPeriodPrevYear">#REF!</definedName>
    <definedName name="CntPrevYear" localSheetId="3">'A.2 Fabrikat och modeller PB'!#REF!</definedName>
    <definedName name="CntPrevYear">#REF!</definedName>
    <definedName name="CntPrevYearAck" localSheetId="3">'A.2 Fabrikat och modeller PB'!$K$420</definedName>
    <definedName name="CntPrevYearAck">#REF!</definedName>
    <definedName name="CntYearAck" localSheetId="3">'A.2 Fabrikat och modeller PB'!$J$420</definedName>
    <definedName name="CntYearAck">#REF!</definedName>
    <definedName name="ExternalData_1" localSheetId="5" hidden="1">'A.4 Drivmedel PB'!$A$7:$G$15</definedName>
    <definedName name="ExternalData_1" localSheetId="16" hidden="1">'B.5 Fabrikatlista TLB'!$A$7:$I$15</definedName>
    <definedName name="ExternalData_1" localSheetId="17" hidden="1">'C. Bussar'!$A$31:$I$41</definedName>
    <definedName name="ExternalData_2" localSheetId="17" hidden="1">'C. Bussar'!$A$8:$I$21</definedName>
    <definedName name="FGAr">Innehåll!$D$78</definedName>
    <definedName name="HeaderDates">Innehåll!$74:$90</definedName>
    <definedName name="Heading1" localSheetId="3">'A.2 Fabrikat och modeller PB'!$E$1</definedName>
    <definedName name="Heading1">#REF!</definedName>
    <definedName name="ManadAr">Innehåll!$H$7</definedName>
    <definedName name="Manaden">Innehåll!$D$75</definedName>
    <definedName name="ManadenKort">Innehåll!$D$74</definedName>
    <definedName name="ManFranTill">Innehåll!$D$76</definedName>
    <definedName name="MsharePrevYear" localSheetId="3">'A.2 Fabrikat och modeller PB'!$I$9</definedName>
    <definedName name="MsharePrevYear">#REF!</definedName>
    <definedName name="MsharePrevYearAck" localSheetId="3">'A.2 Fabrikat och modeller PB'!$N$9</definedName>
    <definedName name="MsharePrevYearAck">#REF!</definedName>
    <definedName name="MshareYear" localSheetId="3">'A.2 Fabrikat och modeller PB'!$H$9</definedName>
    <definedName name="MshareYear">#REF!</definedName>
    <definedName name="MshareYearAck" localSheetId="3">'A.2 Fabrikat och modeller PB'!$M$9</definedName>
    <definedName name="MshareYearAck">#REF!</definedName>
    <definedName name="PerAr">Innehåll!$D$87</definedName>
    <definedName name="PerFranTillAret">Innehåll!$D$85</definedName>
    <definedName name="PerFranTillFGAr">Innehåll!$D$84</definedName>
    <definedName name="Perioden">Innehåll!$D$79</definedName>
    <definedName name="PeriodenFGAr">Innehåll!$D$80</definedName>
    <definedName name="RegDagar" localSheetId="3">'A.2 Fabrikat och modeller PB'!$K$3</definedName>
    <definedName name="RegDagar">#REF!</definedName>
    <definedName name="RegPerDag" localSheetId="3">'A.2 Fabrikat och modeller PB'!$H$3</definedName>
    <definedName name="RegPerDag">#REF!</definedName>
    <definedName name="RegPeriod" localSheetId="3">'A.2 Fabrikat och modeller PB'!$E$7</definedName>
    <definedName name="RegPeriod">#REF!</definedName>
    <definedName name="RegPerManad" localSheetId="3">'A.2 Fabrikat och modeller PB'!$H$4</definedName>
    <definedName name="RegPerManad">#REF!</definedName>
    <definedName name="RegPrevYear" localSheetId="3">'A.2 Fabrikat och modeller PB'!$F$9</definedName>
    <definedName name="RegPrevYear">#REF!</definedName>
    <definedName name="RegPrevYearAck" localSheetId="3">'A.2 Fabrikat och modeller PB'!$K$9</definedName>
    <definedName name="RegPrevYearAck">#REF!</definedName>
    <definedName name="RegYear" localSheetId="3">'A.2 Fabrikat och modeller PB'!$E$9</definedName>
    <definedName name="RegYear">#REF!</definedName>
    <definedName name="RegYearAck" localSheetId="3">'A.2 Fabrikat och modeller PB'!$J$9</definedName>
    <definedName name="RegYearAck">#REF!</definedName>
    <definedName name="Slicer_miljoklass">#N/A</definedName>
    <definedName name="SprValSidfot" localSheetId="0">Innehåll!$B$98</definedName>
    <definedName name="TextLastLine" localSheetId="3">'A.2 Fabrikat och modeller PB'!$B$421</definedName>
    <definedName name="TextLastLine">#REF!</definedName>
    <definedName name="_xlnm.Print_Area" localSheetId="0">Innehåll!$A$1:$J$69</definedName>
    <definedName name="_xlnm.Print_Titles" localSheetId="2">'A.1 Rankinglista PB'!$1:$6</definedName>
    <definedName name="_xlnm.Print_Titles" localSheetId="4">'A.3 Generalagenter PB'!$1:$6</definedName>
    <definedName name="_xlnm.Print_Titles" localSheetId="6">'A.5 Laddbara PB'!$1:$2</definedName>
    <definedName name="_xlnm.Print_Titles" localSheetId="10">'A.8 Fysiska-Juridiska'!$1:$7</definedName>
    <definedName name="_xlnm.Print_Titles" localSheetId="13">'B.2 Fabrikat LLB'!$1:$6</definedName>
    <definedName name="_xlnm.Print_Titles" localSheetId="14">'B.3 Eldrivna LLB'!$1:$6</definedName>
    <definedName name="_xlnm.Print_Titles" localSheetId="19">'C.2 Privatimporterade bussar'!$1:$5</definedName>
    <definedName name="YTDAret">Innehåll!$D$81</definedName>
    <definedName name="YTDFGAr">Innehåll!$D$82</definedName>
  </definedNames>
  <calcPr calcId="191029"/>
  <pivotCaches>
    <pivotCache cacheId="44" r:id="rId21"/>
    <pivotCache cacheId="45" r:id="rId22"/>
    <pivotCache cacheId="46"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20" i="53" l="1"/>
  <c r="J420" i="53"/>
  <c r="L421" i="53" s="1"/>
  <c r="F420" i="53"/>
  <c r="I417" i="53" s="1"/>
  <c r="E420" i="53"/>
  <c r="N418" i="53"/>
  <c r="L418" i="53"/>
  <c r="H418" i="53"/>
  <c r="G418" i="53"/>
  <c r="C418" i="53"/>
  <c r="N417" i="53"/>
  <c r="L417" i="53"/>
  <c r="H417" i="53"/>
  <c r="G417" i="53"/>
  <c r="C417" i="53"/>
  <c r="N416" i="53"/>
  <c r="L416" i="53"/>
  <c r="I416" i="53"/>
  <c r="H416" i="53"/>
  <c r="G416" i="53"/>
  <c r="C416" i="53"/>
  <c r="N415" i="53"/>
  <c r="M415" i="53"/>
  <c r="L415" i="53"/>
  <c r="I415" i="53"/>
  <c r="H415" i="53"/>
  <c r="G415" i="53"/>
  <c r="C415" i="53"/>
  <c r="N414" i="53"/>
  <c r="M414" i="53"/>
  <c r="L414" i="53"/>
  <c r="I414" i="53"/>
  <c r="H414" i="53"/>
  <c r="G414" i="53"/>
  <c r="C414" i="53"/>
  <c r="N413" i="53"/>
  <c r="L413" i="53"/>
  <c r="I413" i="53"/>
  <c r="H413" i="53"/>
  <c r="G413" i="53"/>
  <c r="C413" i="53"/>
  <c r="N412" i="53"/>
  <c r="M412" i="53"/>
  <c r="L412" i="53"/>
  <c r="I412" i="53"/>
  <c r="H412" i="53"/>
  <c r="G412" i="53"/>
  <c r="C412" i="53"/>
  <c r="N411" i="53"/>
  <c r="M411" i="53"/>
  <c r="L411" i="53"/>
  <c r="I411" i="53"/>
  <c r="H411" i="53"/>
  <c r="G411" i="53"/>
  <c r="C411" i="53"/>
  <c r="N410" i="53"/>
  <c r="M410" i="53"/>
  <c r="L410" i="53"/>
  <c r="I410" i="53"/>
  <c r="H410" i="53"/>
  <c r="G410" i="53"/>
  <c r="C410" i="53"/>
  <c r="N409" i="53"/>
  <c r="M409" i="53"/>
  <c r="L409" i="53"/>
  <c r="I409" i="53"/>
  <c r="H409" i="53"/>
  <c r="G409" i="53"/>
  <c r="C409" i="53"/>
  <c r="N408" i="53"/>
  <c r="M408" i="53"/>
  <c r="L408" i="53"/>
  <c r="I408" i="53"/>
  <c r="H408" i="53"/>
  <c r="G408" i="53"/>
  <c r="C408" i="53"/>
  <c r="N407" i="53"/>
  <c r="M407" i="53"/>
  <c r="L407" i="53"/>
  <c r="I407" i="53"/>
  <c r="H407" i="53"/>
  <c r="G407" i="53"/>
  <c r="C407" i="53"/>
  <c r="N406" i="53"/>
  <c r="M406" i="53"/>
  <c r="L406" i="53"/>
  <c r="I406" i="53"/>
  <c r="H406" i="53"/>
  <c r="G406" i="53"/>
  <c r="C406" i="53"/>
  <c r="N405" i="53"/>
  <c r="M405" i="53"/>
  <c r="L405" i="53"/>
  <c r="I405" i="53"/>
  <c r="H405" i="53"/>
  <c r="G405" i="53"/>
  <c r="C405" i="53"/>
  <c r="N404" i="53"/>
  <c r="M404" i="53"/>
  <c r="L404" i="53"/>
  <c r="I404" i="53"/>
  <c r="H404" i="53"/>
  <c r="G404" i="53"/>
  <c r="C404" i="53"/>
  <c r="N403" i="53"/>
  <c r="M403" i="53"/>
  <c r="L403" i="53"/>
  <c r="I403" i="53"/>
  <c r="H403" i="53"/>
  <c r="G403" i="53"/>
  <c r="C403" i="53"/>
  <c r="N402" i="53"/>
  <c r="M402" i="53"/>
  <c r="L402" i="53"/>
  <c r="I402" i="53"/>
  <c r="H402" i="53"/>
  <c r="G402" i="53"/>
  <c r="C402" i="53"/>
  <c r="N401" i="53"/>
  <c r="M401" i="53"/>
  <c r="L401" i="53"/>
  <c r="I401" i="53"/>
  <c r="H401" i="53"/>
  <c r="G401" i="53"/>
  <c r="C401" i="53"/>
  <c r="N400" i="53"/>
  <c r="M400" i="53"/>
  <c r="L400" i="53"/>
  <c r="I400" i="53"/>
  <c r="H400" i="53"/>
  <c r="G400" i="53"/>
  <c r="C400" i="53"/>
  <c r="N399" i="53"/>
  <c r="M399" i="53"/>
  <c r="L399" i="53"/>
  <c r="I399" i="53"/>
  <c r="H399" i="53"/>
  <c r="G399" i="53"/>
  <c r="C399" i="53"/>
  <c r="N398" i="53"/>
  <c r="M398" i="53"/>
  <c r="L398" i="53"/>
  <c r="I398" i="53"/>
  <c r="H398" i="53"/>
  <c r="G398" i="53"/>
  <c r="C398" i="53"/>
  <c r="N397" i="53"/>
  <c r="M397" i="53"/>
  <c r="L397" i="53"/>
  <c r="I397" i="53"/>
  <c r="H397" i="53"/>
  <c r="G397" i="53"/>
  <c r="C397" i="53"/>
  <c r="N396" i="53"/>
  <c r="M396" i="53"/>
  <c r="L396" i="53"/>
  <c r="I396" i="53"/>
  <c r="H396" i="53"/>
  <c r="G396" i="53"/>
  <c r="C396" i="53"/>
  <c r="N395" i="53"/>
  <c r="M395" i="53"/>
  <c r="L395" i="53"/>
  <c r="I395" i="53"/>
  <c r="H395" i="53"/>
  <c r="G395" i="53"/>
  <c r="C395" i="53"/>
  <c r="N394" i="53"/>
  <c r="M394" i="53"/>
  <c r="L394" i="53"/>
  <c r="I394" i="53"/>
  <c r="H394" i="53"/>
  <c r="G394" i="53"/>
  <c r="C394" i="53"/>
  <c r="N393" i="53"/>
  <c r="M393" i="53"/>
  <c r="L393" i="53"/>
  <c r="I393" i="53"/>
  <c r="H393" i="53"/>
  <c r="G393" i="53"/>
  <c r="C393" i="53"/>
  <c r="N392" i="53"/>
  <c r="M392" i="53"/>
  <c r="L392" i="53"/>
  <c r="I392" i="53"/>
  <c r="H392" i="53"/>
  <c r="G392" i="53"/>
  <c r="C392" i="53"/>
  <c r="N391" i="53"/>
  <c r="M391" i="53"/>
  <c r="L391" i="53"/>
  <c r="I391" i="53"/>
  <c r="H391" i="53"/>
  <c r="G391" i="53"/>
  <c r="C391" i="53"/>
  <c r="N390" i="53"/>
  <c r="M390" i="53"/>
  <c r="L390" i="53"/>
  <c r="I390" i="53"/>
  <c r="H390" i="53"/>
  <c r="G390" i="53"/>
  <c r="C390" i="53"/>
  <c r="N389" i="53"/>
  <c r="M389" i="53"/>
  <c r="L389" i="53"/>
  <c r="I389" i="53"/>
  <c r="H389" i="53"/>
  <c r="G389" i="53"/>
  <c r="C389" i="53"/>
  <c r="N388" i="53"/>
  <c r="M388" i="53"/>
  <c r="L388" i="53"/>
  <c r="I388" i="53"/>
  <c r="H388" i="53"/>
  <c r="G388" i="53"/>
  <c r="C388" i="53"/>
  <c r="N387" i="53"/>
  <c r="M387" i="53"/>
  <c r="L387" i="53"/>
  <c r="I387" i="53"/>
  <c r="H387" i="53"/>
  <c r="G387" i="53"/>
  <c r="C387" i="53"/>
  <c r="N386" i="53"/>
  <c r="M386" i="53"/>
  <c r="L386" i="53"/>
  <c r="I386" i="53"/>
  <c r="H386" i="53"/>
  <c r="G386" i="53"/>
  <c r="C386" i="53"/>
  <c r="N385" i="53"/>
  <c r="M385" i="53"/>
  <c r="L385" i="53"/>
  <c r="I385" i="53"/>
  <c r="H385" i="53"/>
  <c r="G385" i="53"/>
  <c r="C385" i="53"/>
  <c r="N384" i="53"/>
  <c r="M384" i="53"/>
  <c r="L384" i="53"/>
  <c r="I384" i="53"/>
  <c r="H384" i="53"/>
  <c r="G384" i="53"/>
  <c r="C384" i="53"/>
  <c r="N383" i="53"/>
  <c r="M383" i="53"/>
  <c r="L383" i="53"/>
  <c r="I383" i="53"/>
  <c r="H383" i="53"/>
  <c r="G383" i="53"/>
  <c r="C383" i="53"/>
  <c r="N382" i="53"/>
  <c r="M382" i="53"/>
  <c r="L382" i="53"/>
  <c r="I382" i="53"/>
  <c r="H382" i="53"/>
  <c r="G382" i="53"/>
  <c r="C382" i="53"/>
  <c r="N381" i="53"/>
  <c r="M381" i="53"/>
  <c r="L381" i="53"/>
  <c r="I381" i="53"/>
  <c r="H381" i="53"/>
  <c r="G381" i="53"/>
  <c r="C381" i="53"/>
  <c r="N380" i="53"/>
  <c r="M380" i="53"/>
  <c r="L380" i="53"/>
  <c r="I380" i="53"/>
  <c r="H380" i="53"/>
  <c r="G380" i="53"/>
  <c r="C380" i="53"/>
  <c r="N379" i="53"/>
  <c r="M379" i="53"/>
  <c r="L379" i="53"/>
  <c r="I379" i="53"/>
  <c r="H379" i="53"/>
  <c r="G379" i="53"/>
  <c r="C379" i="53"/>
  <c r="N378" i="53"/>
  <c r="M378" i="53"/>
  <c r="L378" i="53"/>
  <c r="I378" i="53"/>
  <c r="H378" i="53"/>
  <c r="G378" i="53"/>
  <c r="C378" i="53"/>
  <c r="N377" i="53"/>
  <c r="M377" i="53"/>
  <c r="L377" i="53"/>
  <c r="I377" i="53"/>
  <c r="H377" i="53"/>
  <c r="G377" i="53"/>
  <c r="C377" i="53"/>
  <c r="N376" i="53"/>
  <c r="M376" i="53"/>
  <c r="L376" i="53"/>
  <c r="I376" i="53"/>
  <c r="H376" i="53"/>
  <c r="G376" i="53"/>
  <c r="C376" i="53"/>
  <c r="N375" i="53"/>
  <c r="M375" i="53"/>
  <c r="L375" i="53"/>
  <c r="I375" i="53"/>
  <c r="H375" i="53"/>
  <c r="G375" i="53"/>
  <c r="C375" i="53"/>
  <c r="N374" i="53"/>
  <c r="M374" i="53"/>
  <c r="L374" i="53"/>
  <c r="I374" i="53"/>
  <c r="H374" i="53"/>
  <c r="G374" i="53"/>
  <c r="C374" i="53"/>
  <c r="N373" i="53"/>
  <c r="M373" i="53"/>
  <c r="L373" i="53"/>
  <c r="I373" i="53"/>
  <c r="H373" i="53"/>
  <c r="G373" i="53"/>
  <c r="C373" i="53"/>
  <c r="N372" i="53"/>
  <c r="M372" i="53"/>
  <c r="L372" i="53"/>
  <c r="I372" i="53"/>
  <c r="H372" i="53"/>
  <c r="G372" i="53"/>
  <c r="C372" i="53"/>
  <c r="N371" i="53"/>
  <c r="M371" i="53"/>
  <c r="L371" i="53"/>
  <c r="I371" i="53"/>
  <c r="H371" i="53"/>
  <c r="G371" i="53"/>
  <c r="C371" i="53"/>
  <c r="N370" i="53"/>
  <c r="M370" i="53"/>
  <c r="L370" i="53"/>
  <c r="I370" i="53"/>
  <c r="H370" i="53"/>
  <c r="G370" i="53"/>
  <c r="C370" i="53"/>
  <c r="N369" i="53"/>
  <c r="M369" i="53"/>
  <c r="L369" i="53"/>
  <c r="I369" i="53"/>
  <c r="H369" i="53"/>
  <c r="G369" i="53"/>
  <c r="C369" i="53"/>
  <c r="N368" i="53"/>
  <c r="M368" i="53"/>
  <c r="L368" i="53"/>
  <c r="I368" i="53"/>
  <c r="H368" i="53"/>
  <c r="G368" i="53"/>
  <c r="C368" i="53"/>
  <c r="N367" i="53"/>
  <c r="M367" i="53"/>
  <c r="L367" i="53"/>
  <c r="I367" i="53"/>
  <c r="H367" i="53"/>
  <c r="G367" i="53"/>
  <c r="C367" i="53"/>
  <c r="N366" i="53"/>
  <c r="M366" i="53"/>
  <c r="L366" i="53"/>
  <c r="I366" i="53"/>
  <c r="H366" i="53"/>
  <c r="G366" i="53"/>
  <c r="C366" i="53"/>
  <c r="N365" i="53"/>
  <c r="M365" i="53"/>
  <c r="L365" i="53"/>
  <c r="I365" i="53"/>
  <c r="H365" i="53"/>
  <c r="G365" i="53"/>
  <c r="C365" i="53"/>
  <c r="N364" i="53"/>
  <c r="M364" i="53"/>
  <c r="L364" i="53"/>
  <c r="I364" i="53"/>
  <c r="H364" i="53"/>
  <c r="G364" i="53"/>
  <c r="C364" i="53"/>
  <c r="N363" i="53"/>
  <c r="M363" i="53"/>
  <c r="L363" i="53"/>
  <c r="I363" i="53"/>
  <c r="H363" i="53"/>
  <c r="G363" i="53"/>
  <c r="C363" i="53"/>
  <c r="N362" i="53"/>
  <c r="M362" i="53"/>
  <c r="L362" i="53"/>
  <c r="I362" i="53"/>
  <c r="H362" i="53"/>
  <c r="G362" i="53"/>
  <c r="C362" i="53"/>
  <c r="N361" i="53"/>
  <c r="M361" i="53"/>
  <c r="L361" i="53"/>
  <c r="I361" i="53"/>
  <c r="H361" i="53"/>
  <c r="G361" i="53"/>
  <c r="C361" i="53"/>
  <c r="N360" i="53"/>
  <c r="M360" i="53"/>
  <c r="L360" i="53"/>
  <c r="I360" i="53"/>
  <c r="H360" i="53"/>
  <c r="G360" i="53"/>
  <c r="C360" i="53"/>
  <c r="N359" i="53"/>
  <c r="M359" i="53"/>
  <c r="L359" i="53"/>
  <c r="I359" i="53"/>
  <c r="H359" i="53"/>
  <c r="G359" i="53"/>
  <c r="C359" i="53"/>
  <c r="N358" i="53"/>
  <c r="M358" i="53"/>
  <c r="L358" i="53"/>
  <c r="I358" i="53"/>
  <c r="H358" i="53"/>
  <c r="G358" i="53"/>
  <c r="C358" i="53"/>
  <c r="N357" i="53"/>
  <c r="M357" i="53"/>
  <c r="L357" i="53"/>
  <c r="I357" i="53"/>
  <c r="H357" i="53"/>
  <c r="G357" i="53"/>
  <c r="C357" i="53"/>
  <c r="N356" i="53"/>
  <c r="M356" i="53"/>
  <c r="L356" i="53"/>
  <c r="I356" i="53"/>
  <c r="H356" i="53"/>
  <c r="G356" i="53"/>
  <c r="C356" i="53"/>
  <c r="N355" i="53"/>
  <c r="M355" i="53"/>
  <c r="L355" i="53"/>
  <c r="I355" i="53"/>
  <c r="H355" i="53"/>
  <c r="G355" i="53"/>
  <c r="C355" i="53"/>
  <c r="N354" i="53"/>
  <c r="M354" i="53"/>
  <c r="L354" i="53"/>
  <c r="I354" i="53"/>
  <c r="H354" i="53"/>
  <c r="G354" i="53"/>
  <c r="C354" i="53"/>
  <c r="N353" i="53"/>
  <c r="M353" i="53"/>
  <c r="L353" i="53"/>
  <c r="I353" i="53"/>
  <c r="H353" i="53"/>
  <c r="G353" i="53"/>
  <c r="C353" i="53"/>
  <c r="N352" i="53"/>
  <c r="M352" i="53"/>
  <c r="L352" i="53"/>
  <c r="I352" i="53"/>
  <c r="H352" i="53"/>
  <c r="G352" i="53"/>
  <c r="C352" i="53"/>
  <c r="N351" i="53"/>
  <c r="M351" i="53"/>
  <c r="L351" i="53"/>
  <c r="I351" i="53"/>
  <c r="H351" i="53"/>
  <c r="G351" i="53"/>
  <c r="C351" i="53"/>
  <c r="N350" i="53"/>
  <c r="M350" i="53"/>
  <c r="L350" i="53"/>
  <c r="I350" i="53"/>
  <c r="H350" i="53"/>
  <c r="G350" i="53"/>
  <c r="C350" i="53"/>
  <c r="N349" i="53"/>
  <c r="M349" i="53"/>
  <c r="L349" i="53"/>
  <c r="I349" i="53"/>
  <c r="H349" i="53"/>
  <c r="G349" i="53"/>
  <c r="C349" i="53"/>
  <c r="N348" i="53"/>
  <c r="M348" i="53"/>
  <c r="L348" i="53"/>
  <c r="I348" i="53"/>
  <c r="H348" i="53"/>
  <c r="G348" i="53"/>
  <c r="C348" i="53"/>
  <c r="N347" i="53"/>
  <c r="M347" i="53"/>
  <c r="L347" i="53"/>
  <c r="I347" i="53"/>
  <c r="H347" i="53"/>
  <c r="G347" i="53"/>
  <c r="C347" i="53"/>
  <c r="N346" i="53"/>
  <c r="M346" i="53"/>
  <c r="L346" i="53"/>
  <c r="I346" i="53"/>
  <c r="H346" i="53"/>
  <c r="G346" i="53"/>
  <c r="C346" i="53"/>
  <c r="N345" i="53"/>
  <c r="M345" i="53"/>
  <c r="L345" i="53"/>
  <c r="I345" i="53"/>
  <c r="H345" i="53"/>
  <c r="G345" i="53"/>
  <c r="C345" i="53"/>
  <c r="N344" i="53"/>
  <c r="M344" i="53"/>
  <c r="L344" i="53"/>
  <c r="I344" i="53"/>
  <c r="H344" i="53"/>
  <c r="G344" i="53"/>
  <c r="C344" i="53"/>
  <c r="N343" i="53"/>
  <c r="M343" i="53"/>
  <c r="L343" i="53"/>
  <c r="I343" i="53"/>
  <c r="H343" i="53"/>
  <c r="G343" i="53"/>
  <c r="C343" i="53"/>
  <c r="N342" i="53"/>
  <c r="M342" i="53"/>
  <c r="L342" i="53"/>
  <c r="I342" i="53"/>
  <c r="H342" i="53"/>
  <c r="G342" i="53"/>
  <c r="C342" i="53"/>
  <c r="N341" i="53"/>
  <c r="M341" i="53"/>
  <c r="L341" i="53"/>
  <c r="I341" i="53"/>
  <c r="H341" i="53"/>
  <c r="G341" i="53"/>
  <c r="C341" i="53"/>
  <c r="N340" i="53"/>
  <c r="M340" i="53"/>
  <c r="L340" i="53"/>
  <c r="I340" i="53"/>
  <c r="H340" i="53"/>
  <c r="G340" i="53"/>
  <c r="C340" i="53"/>
  <c r="N339" i="53"/>
  <c r="M339" i="53"/>
  <c r="L339" i="53"/>
  <c r="I339" i="53"/>
  <c r="H339" i="53"/>
  <c r="G339" i="53"/>
  <c r="C339" i="53"/>
  <c r="N338" i="53"/>
  <c r="M338" i="53"/>
  <c r="L338" i="53"/>
  <c r="I338" i="53"/>
  <c r="H338" i="53"/>
  <c r="G338" i="53"/>
  <c r="C338" i="53"/>
  <c r="N337" i="53"/>
  <c r="M337" i="53"/>
  <c r="L337" i="53"/>
  <c r="I337" i="53"/>
  <c r="H337" i="53"/>
  <c r="G337" i="53"/>
  <c r="C337" i="53"/>
  <c r="N336" i="53"/>
  <c r="M336" i="53"/>
  <c r="L336" i="53"/>
  <c r="I336" i="53"/>
  <c r="H336" i="53"/>
  <c r="G336" i="53"/>
  <c r="C336" i="53"/>
  <c r="N335" i="53"/>
  <c r="M335" i="53"/>
  <c r="L335" i="53"/>
  <c r="I335" i="53"/>
  <c r="H335" i="53"/>
  <c r="G335" i="53"/>
  <c r="C335" i="53"/>
  <c r="N334" i="53"/>
  <c r="M334" i="53"/>
  <c r="L334" i="53"/>
  <c r="I334" i="53"/>
  <c r="H334" i="53"/>
  <c r="G334" i="53"/>
  <c r="C334" i="53"/>
  <c r="N333" i="53"/>
  <c r="M333" i="53"/>
  <c r="L333" i="53"/>
  <c r="I333" i="53"/>
  <c r="H333" i="53"/>
  <c r="G333" i="53"/>
  <c r="C333" i="53"/>
  <c r="N332" i="53"/>
  <c r="M332" i="53"/>
  <c r="L332" i="53"/>
  <c r="I332" i="53"/>
  <c r="H332" i="53"/>
  <c r="G332" i="53"/>
  <c r="C332" i="53"/>
  <c r="N331" i="53"/>
  <c r="M331" i="53"/>
  <c r="L331" i="53"/>
  <c r="I331" i="53"/>
  <c r="H331" i="53"/>
  <c r="G331" i="53"/>
  <c r="C331" i="53"/>
  <c r="N330" i="53"/>
  <c r="M330" i="53"/>
  <c r="L330" i="53"/>
  <c r="I330" i="53"/>
  <c r="H330" i="53"/>
  <c r="G330" i="53"/>
  <c r="C330" i="53"/>
  <c r="N329" i="53"/>
  <c r="M329" i="53"/>
  <c r="L329" i="53"/>
  <c r="I329" i="53"/>
  <c r="H329" i="53"/>
  <c r="G329" i="53"/>
  <c r="C329" i="53"/>
  <c r="N328" i="53"/>
  <c r="M328" i="53"/>
  <c r="L328" i="53"/>
  <c r="I328" i="53"/>
  <c r="H328" i="53"/>
  <c r="G328" i="53"/>
  <c r="C328" i="53"/>
  <c r="N327" i="53"/>
  <c r="M327" i="53"/>
  <c r="L327" i="53"/>
  <c r="I327" i="53"/>
  <c r="H327" i="53"/>
  <c r="G327" i="53"/>
  <c r="C327" i="53"/>
  <c r="N326" i="53"/>
  <c r="M326" i="53"/>
  <c r="L326" i="53"/>
  <c r="I326" i="53"/>
  <c r="H326" i="53"/>
  <c r="G326" i="53"/>
  <c r="C326" i="53"/>
  <c r="N325" i="53"/>
  <c r="M325" i="53"/>
  <c r="L325" i="53"/>
  <c r="I325" i="53"/>
  <c r="H325" i="53"/>
  <c r="G325" i="53"/>
  <c r="C325" i="53"/>
  <c r="N324" i="53"/>
  <c r="M324" i="53"/>
  <c r="L324" i="53"/>
  <c r="I324" i="53"/>
  <c r="H324" i="53"/>
  <c r="G324" i="53"/>
  <c r="C324" i="53"/>
  <c r="N323" i="53"/>
  <c r="M323" i="53"/>
  <c r="L323" i="53"/>
  <c r="I323" i="53"/>
  <c r="H323" i="53"/>
  <c r="G323" i="53"/>
  <c r="C323" i="53"/>
  <c r="N322" i="53"/>
  <c r="M322" i="53"/>
  <c r="L322" i="53"/>
  <c r="I322" i="53"/>
  <c r="H322" i="53"/>
  <c r="G322" i="53"/>
  <c r="C322" i="53"/>
  <c r="N321" i="53"/>
  <c r="M321" i="53"/>
  <c r="L321" i="53"/>
  <c r="I321" i="53"/>
  <c r="H321" i="53"/>
  <c r="G321" i="53"/>
  <c r="C321" i="53"/>
  <c r="N320" i="53"/>
  <c r="M320" i="53"/>
  <c r="L320" i="53"/>
  <c r="I320" i="53"/>
  <c r="H320" i="53"/>
  <c r="G320" i="53"/>
  <c r="C320" i="53"/>
  <c r="N319" i="53"/>
  <c r="M319" i="53"/>
  <c r="L319" i="53"/>
  <c r="I319" i="53"/>
  <c r="H319" i="53"/>
  <c r="G319" i="53"/>
  <c r="C319" i="53"/>
  <c r="N318" i="53"/>
  <c r="M318" i="53"/>
  <c r="L318" i="53"/>
  <c r="I318" i="53"/>
  <c r="H318" i="53"/>
  <c r="G318" i="53"/>
  <c r="C318" i="53"/>
  <c r="N317" i="53"/>
  <c r="M317" i="53"/>
  <c r="L317" i="53"/>
  <c r="I317" i="53"/>
  <c r="H317" i="53"/>
  <c r="G317" i="53"/>
  <c r="C317" i="53"/>
  <c r="N316" i="53"/>
  <c r="M316" i="53"/>
  <c r="L316" i="53"/>
  <c r="I316" i="53"/>
  <c r="H316" i="53"/>
  <c r="G316" i="53"/>
  <c r="C316" i="53"/>
  <c r="N315" i="53"/>
  <c r="M315" i="53"/>
  <c r="L315" i="53"/>
  <c r="I315" i="53"/>
  <c r="H315" i="53"/>
  <c r="G315" i="53"/>
  <c r="C315" i="53"/>
  <c r="N314" i="53"/>
  <c r="M314" i="53"/>
  <c r="L314" i="53"/>
  <c r="I314" i="53"/>
  <c r="H314" i="53"/>
  <c r="G314" i="53"/>
  <c r="C314" i="53"/>
  <c r="N313" i="53"/>
  <c r="M313" i="53"/>
  <c r="L313" i="53"/>
  <c r="I313" i="53"/>
  <c r="H313" i="53"/>
  <c r="G313" i="53"/>
  <c r="C313" i="53"/>
  <c r="N312" i="53"/>
  <c r="M312" i="53"/>
  <c r="L312" i="53"/>
  <c r="I312" i="53"/>
  <c r="H312" i="53"/>
  <c r="G312" i="53"/>
  <c r="C312" i="53"/>
  <c r="N311" i="53"/>
  <c r="M311" i="53"/>
  <c r="L311" i="53"/>
  <c r="I311" i="53"/>
  <c r="H311" i="53"/>
  <c r="G311" i="53"/>
  <c r="C311" i="53"/>
  <c r="N310" i="53"/>
  <c r="M310" i="53"/>
  <c r="L310" i="53"/>
  <c r="I310" i="53"/>
  <c r="H310" i="53"/>
  <c r="G310" i="53"/>
  <c r="C310" i="53"/>
  <c r="N309" i="53"/>
  <c r="M309" i="53"/>
  <c r="L309" i="53"/>
  <c r="I309" i="53"/>
  <c r="H309" i="53"/>
  <c r="G309" i="53"/>
  <c r="C309" i="53"/>
  <c r="N308" i="53"/>
  <c r="M308" i="53"/>
  <c r="L308" i="53"/>
  <c r="I308" i="53"/>
  <c r="H308" i="53"/>
  <c r="G308" i="53"/>
  <c r="C308" i="53"/>
  <c r="N307" i="53"/>
  <c r="M307" i="53"/>
  <c r="L307" i="53"/>
  <c r="I307" i="53"/>
  <c r="H307" i="53"/>
  <c r="G307" i="53"/>
  <c r="C307" i="53"/>
  <c r="N306" i="53"/>
  <c r="M306" i="53"/>
  <c r="L306" i="53"/>
  <c r="I306" i="53"/>
  <c r="H306" i="53"/>
  <c r="G306" i="53"/>
  <c r="C306" i="53"/>
  <c r="N305" i="53"/>
  <c r="M305" i="53"/>
  <c r="L305" i="53"/>
  <c r="I305" i="53"/>
  <c r="H305" i="53"/>
  <c r="G305" i="53"/>
  <c r="C305" i="53"/>
  <c r="N304" i="53"/>
  <c r="M304" i="53"/>
  <c r="L304" i="53"/>
  <c r="I304" i="53"/>
  <c r="H304" i="53"/>
  <c r="G304" i="53"/>
  <c r="C304" i="53"/>
  <c r="N303" i="53"/>
  <c r="M303" i="53"/>
  <c r="L303" i="53"/>
  <c r="I303" i="53"/>
  <c r="H303" i="53"/>
  <c r="G303" i="53"/>
  <c r="C303" i="53"/>
  <c r="N302" i="53"/>
  <c r="M302" i="53"/>
  <c r="L302" i="53"/>
  <c r="I302" i="53"/>
  <c r="H302" i="53"/>
  <c r="G302" i="53"/>
  <c r="C302" i="53"/>
  <c r="N301" i="53"/>
  <c r="M301" i="53"/>
  <c r="L301" i="53"/>
  <c r="I301" i="53"/>
  <c r="H301" i="53"/>
  <c r="G301" i="53"/>
  <c r="C301" i="53"/>
  <c r="N300" i="53"/>
  <c r="M300" i="53"/>
  <c r="L300" i="53"/>
  <c r="I300" i="53"/>
  <c r="H300" i="53"/>
  <c r="G300" i="53"/>
  <c r="C300" i="53"/>
  <c r="N299" i="53"/>
  <c r="M299" i="53"/>
  <c r="L299" i="53"/>
  <c r="I299" i="53"/>
  <c r="H299" i="53"/>
  <c r="G299" i="53"/>
  <c r="C299" i="53"/>
  <c r="N298" i="53"/>
  <c r="M298" i="53"/>
  <c r="L298" i="53"/>
  <c r="I298" i="53"/>
  <c r="H298" i="53"/>
  <c r="G298" i="53"/>
  <c r="C298" i="53"/>
  <c r="N297" i="53"/>
  <c r="M297" i="53"/>
  <c r="L297" i="53"/>
  <c r="I297" i="53"/>
  <c r="H297" i="53"/>
  <c r="G297" i="53"/>
  <c r="C297" i="53"/>
  <c r="N296" i="53"/>
  <c r="M296" i="53"/>
  <c r="L296" i="53"/>
  <c r="I296" i="53"/>
  <c r="H296" i="53"/>
  <c r="G296" i="53"/>
  <c r="C296" i="53"/>
  <c r="N295" i="53"/>
  <c r="M295" i="53"/>
  <c r="L295" i="53"/>
  <c r="I295" i="53"/>
  <c r="H295" i="53"/>
  <c r="G295" i="53"/>
  <c r="C295" i="53"/>
  <c r="N294" i="53"/>
  <c r="M294" i="53"/>
  <c r="L294" i="53"/>
  <c r="I294" i="53"/>
  <c r="H294" i="53"/>
  <c r="G294" i="53"/>
  <c r="C294" i="53"/>
  <c r="N293" i="53"/>
  <c r="M293" i="53"/>
  <c r="L293" i="53"/>
  <c r="I293" i="53"/>
  <c r="H293" i="53"/>
  <c r="G293" i="53"/>
  <c r="C293" i="53"/>
  <c r="N292" i="53"/>
  <c r="M292" i="53"/>
  <c r="L292" i="53"/>
  <c r="I292" i="53"/>
  <c r="H292" i="53"/>
  <c r="G292" i="53"/>
  <c r="C292" i="53"/>
  <c r="N291" i="53"/>
  <c r="M291" i="53"/>
  <c r="L291" i="53"/>
  <c r="I291" i="53"/>
  <c r="H291" i="53"/>
  <c r="G291" i="53"/>
  <c r="C291" i="53"/>
  <c r="N290" i="53"/>
  <c r="M290" i="53"/>
  <c r="L290" i="53"/>
  <c r="I290" i="53"/>
  <c r="H290" i="53"/>
  <c r="G290" i="53"/>
  <c r="C290" i="53"/>
  <c r="N289" i="53"/>
  <c r="M289" i="53"/>
  <c r="L289" i="53"/>
  <c r="I289" i="53"/>
  <c r="H289" i="53"/>
  <c r="G289" i="53"/>
  <c r="C289" i="53"/>
  <c r="N288" i="53"/>
  <c r="M288" i="53"/>
  <c r="L288" i="53"/>
  <c r="I288" i="53"/>
  <c r="H288" i="53"/>
  <c r="G288" i="53"/>
  <c r="C288" i="53"/>
  <c r="N287" i="53"/>
  <c r="M287" i="53"/>
  <c r="L287" i="53"/>
  <c r="I287" i="53"/>
  <c r="H287" i="53"/>
  <c r="G287" i="53"/>
  <c r="C287" i="53"/>
  <c r="N286" i="53"/>
  <c r="M286" i="53"/>
  <c r="L286" i="53"/>
  <c r="I286" i="53"/>
  <c r="H286" i="53"/>
  <c r="G286" i="53"/>
  <c r="C286" i="53"/>
  <c r="N285" i="53"/>
  <c r="M285" i="53"/>
  <c r="L285" i="53"/>
  <c r="I285" i="53"/>
  <c r="H285" i="53"/>
  <c r="G285" i="53"/>
  <c r="C285" i="53"/>
  <c r="N284" i="53"/>
  <c r="M284" i="53"/>
  <c r="L284" i="53"/>
  <c r="I284" i="53"/>
  <c r="H284" i="53"/>
  <c r="G284" i="53"/>
  <c r="C284" i="53"/>
  <c r="N283" i="53"/>
  <c r="M283" i="53"/>
  <c r="L283" i="53"/>
  <c r="I283" i="53"/>
  <c r="H283" i="53"/>
  <c r="G283" i="53"/>
  <c r="C283" i="53"/>
  <c r="N282" i="53"/>
  <c r="M282" i="53"/>
  <c r="L282" i="53"/>
  <c r="I282" i="53"/>
  <c r="H282" i="53"/>
  <c r="G282" i="53"/>
  <c r="C282" i="53"/>
  <c r="N281" i="53"/>
  <c r="M281" i="53"/>
  <c r="L281" i="53"/>
  <c r="I281" i="53"/>
  <c r="H281" i="53"/>
  <c r="G281" i="53"/>
  <c r="C281" i="53"/>
  <c r="N280" i="53"/>
  <c r="M280" i="53"/>
  <c r="L280" i="53"/>
  <c r="I280" i="53"/>
  <c r="H280" i="53"/>
  <c r="G280" i="53"/>
  <c r="C280" i="53"/>
  <c r="N279" i="53"/>
  <c r="M279" i="53"/>
  <c r="L279" i="53"/>
  <c r="I279" i="53"/>
  <c r="H279" i="53"/>
  <c r="G279" i="53"/>
  <c r="C279" i="53"/>
  <c r="N278" i="53"/>
  <c r="M278" i="53"/>
  <c r="L278" i="53"/>
  <c r="I278" i="53"/>
  <c r="H278" i="53"/>
  <c r="G278" i="53"/>
  <c r="C278" i="53"/>
  <c r="N277" i="53"/>
  <c r="M277" i="53"/>
  <c r="L277" i="53"/>
  <c r="I277" i="53"/>
  <c r="H277" i="53"/>
  <c r="G277" i="53"/>
  <c r="C277" i="53"/>
  <c r="N276" i="53"/>
  <c r="M276" i="53"/>
  <c r="L276" i="53"/>
  <c r="I276" i="53"/>
  <c r="H276" i="53"/>
  <c r="G276" i="53"/>
  <c r="C276" i="53"/>
  <c r="N275" i="53"/>
  <c r="M275" i="53"/>
  <c r="L275" i="53"/>
  <c r="I275" i="53"/>
  <c r="H275" i="53"/>
  <c r="G275" i="53"/>
  <c r="C275" i="53"/>
  <c r="N274" i="53"/>
  <c r="M274" i="53"/>
  <c r="L274" i="53"/>
  <c r="I274" i="53"/>
  <c r="H274" i="53"/>
  <c r="G274" i="53"/>
  <c r="C274" i="53"/>
  <c r="N273" i="53"/>
  <c r="M273" i="53"/>
  <c r="L273" i="53"/>
  <c r="I273" i="53"/>
  <c r="H273" i="53"/>
  <c r="G273" i="53"/>
  <c r="C273" i="53"/>
  <c r="N272" i="53"/>
  <c r="M272" i="53"/>
  <c r="L272" i="53"/>
  <c r="I272" i="53"/>
  <c r="H272" i="53"/>
  <c r="G272" i="53"/>
  <c r="C272" i="53"/>
  <c r="N271" i="53"/>
  <c r="M271" i="53"/>
  <c r="L271" i="53"/>
  <c r="I271" i="53"/>
  <c r="H271" i="53"/>
  <c r="G271" i="53"/>
  <c r="C271" i="53"/>
  <c r="N270" i="53"/>
  <c r="M270" i="53"/>
  <c r="L270" i="53"/>
  <c r="I270" i="53"/>
  <c r="H270" i="53"/>
  <c r="G270" i="53"/>
  <c r="C270" i="53"/>
  <c r="N269" i="53"/>
  <c r="M269" i="53"/>
  <c r="L269" i="53"/>
  <c r="I269" i="53"/>
  <c r="H269" i="53"/>
  <c r="G269" i="53"/>
  <c r="C269" i="53"/>
  <c r="N268" i="53"/>
  <c r="M268" i="53"/>
  <c r="L268" i="53"/>
  <c r="I268" i="53"/>
  <c r="H268" i="53"/>
  <c r="G268" i="53"/>
  <c r="C268" i="53"/>
  <c r="N267" i="53"/>
  <c r="M267" i="53"/>
  <c r="L267" i="53"/>
  <c r="I267" i="53"/>
  <c r="H267" i="53"/>
  <c r="G267" i="53"/>
  <c r="C267" i="53"/>
  <c r="N266" i="53"/>
  <c r="M266" i="53"/>
  <c r="L266" i="53"/>
  <c r="I266" i="53"/>
  <c r="H266" i="53"/>
  <c r="G266" i="53"/>
  <c r="C266" i="53"/>
  <c r="N265" i="53"/>
  <c r="M265" i="53"/>
  <c r="L265" i="53"/>
  <c r="I265" i="53"/>
  <c r="H265" i="53"/>
  <c r="G265" i="53"/>
  <c r="C265" i="53"/>
  <c r="N264" i="53"/>
  <c r="M264" i="53"/>
  <c r="L264" i="53"/>
  <c r="I264" i="53"/>
  <c r="H264" i="53"/>
  <c r="G264" i="53"/>
  <c r="C264" i="53"/>
  <c r="N263" i="53"/>
  <c r="M263" i="53"/>
  <c r="L263" i="53"/>
  <c r="I263" i="53"/>
  <c r="H263" i="53"/>
  <c r="G263" i="53"/>
  <c r="C263" i="53"/>
  <c r="N262" i="53"/>
  <c r="M262" i="53"/>
  <c r="L262" i="53"/>
  <c r="I262" i="53"/>
  <c r="H262" i="53"/>
  <c r="G262" i="53"/>
  <c r="C262" i="53"/>
  <c r="N261" i="53"/>
  <c r="M261" i="53"/>
  <c r="L261" i="53"/>
  <c r="I261" i="53"/>
  <c r="H261" i="53"/>
  <c r="G261" i="53"/>
  <c r="C261" i="53"/>
  <c r="N260" i="53"/>
  <c r="M260" i="53"/>
  <c r="L260" i="53"/>
  <c r="I260" i="53"/>
  <c r="H260" i="53"/>
  <c r="G260" i="53"/>
  <c r="C260" i="53"/>
  <c r="N259" i="53"/>
  <c r="M259" i="53"/>
  <c r="L259" i="53"/>
  <c r="I259" i="53"/>
  <c r="H259" i="53"/>
  <c r="G259" i="53"/>
  <c r="C259" i="53"/>
  <c r="N258" i="53"/>
  <c r="M258" i="53"/>
  <c r="L258" i="53"/>
  <c r="I258" i="53"/>
  <c r="H258" i="53"/>
  <c r="G258" i="53"/>
  <c r="C258" i="53"/>
  <c r="N257" i="53"/>
  <c r="M257" i="53"/>
  <c r="L257" i="53"/>
  <c r="I257" i="53"/>
  <c r="H257" i="53"/>
  <c r="G257" i="53"/>
  <c r="C257" i="53"/>
  <c r="N256" i="53"/>
  <c r="M256" i="53"/>
  <c r="L256" i="53"/>
  <c r="I256" i="53"/>
  <c r="H256" i="53"/>
  <c r="G256" i="53"/>
  <c r="C256" i="53"/>
  <c r="N255" i="53"/>
  <c r="M255" i="53"/>
  <c r="L255" i="53"/>
  <c r="I255" i="53"/>
  <c r="H255" i="53"/>
  <c r="G255" i="53"/>
  <c r="C255" i="53"/>
  <c r="N254" i="53"/>
  <c r="M254" i="53"/>
  <c r="L254" i="53"/>
  <c r="I254" i="53"/>
  <c r="H254" i="53"/>
  <c r="G254" i="53"/>
  <c r="C254" i="53"/>
  <c r="N253" i="53"/>
  <c r="M253" i="53"/>
  <c r="L253" i="53"/>
  <c r="I253" i="53"/>
  <c r="H253" i="53"/>
  <c r="G253" i="53"/>
  <c r="C253" i="53"/>
  <c r="N252" i="53"/>
  <c r="M252" i="53"/>
  <c r="L252" i="53"/>
  <c r="I252" i="53"/>
  <c r="H252" i="53"/>
  <c r="G252" i="53"/>
  <c r="C252" i="53"/>
  <c r="N251" i="53"/>
  <c r="M251" i="53"/>
  <c r="L251" i="53"/>
  <c r="I251" i="53"/>
  <c r="H251" i="53"/>
  <c r="G251" i="53"/>
  <c r="C251" i="53"/>
  <c r="N250" i="53"/>
  <c r="M250" i="53"/>
  <c r="L250" i="53"/>
  <c r="I250" i="53"/>
  <c r="H250" i="53"/>
  <c r="G250" i="53"/>
  <c r="C250" i="53"/>
  <c r="N249" i="53"/>
  <c r="M249" i="53"/>
  <c r="L249" i="53"/>
  <c r="I249" i="53"/>
  <c r="H249" i="53"/>
  <c r="G249" i="53"/>
  <c r="C249" i="53"/>
  <c r="N248" i="53"/>
  <c r="M248" i="53"/>
  <c r="L248" i="53"/>
  <c r="I248" i="53"/>
  <c r="H248" i="53"/>
  <c r="G248" i="53"/>
  <c r="C248" i="53"/>
  <c r="N247" i="53"/>
  <c r="M247" i="53"/>
  <c r="L247" i="53"/>
  <c r="I247" i="53"/>
  <c r="H247" i="53"/>
  <c r="G247" i="53"/>
  <c r="C247" i="53"/>
  <c r="N246" i="53"/>
  <c r="M246" i="53"/>
  <c r="L246" i="53"/>
  <c r="I246" i="53"/>
  <c r="H246" i="53"/>
  <c r="G246" i="53"/>
  <c r="C246" i="53"/>
  <c r="N245" i="53"/>
  <c r="M245" i="53"/>
  <c r="L245" i="53"/>
  <c r="I245" i="53"/>
  <c r="H245" i="53"/>
  <c r="G245" i="53"/>
  <c r="C245" i="53"/>
  <c r="N244" i="53"/>
  <c r="M244" i="53"/>
  <c r="L244" i="53"/>
  <c r="I244" i="53"/>
  <c r="H244" i="53"/>
  <c r="G244" i="53"/>
  <c r="C244" i="53"/>
  <c r="N243" i="53"/>
  <c r="M243" i="53"/>
  <c r="L243" i="53"/>
  <c r="I243" i="53"/>
  <c r="H243" i="53"/>
  <c r="G243" i="53"/>
  <c r="C243" i="53"/>
  <c r="N242" i="53"/>
  <c r="M242" i="53"/>
  <c r="L242" i="53"/>
  <c r="I242" i="53"/>
  <c r="H242" i="53"/>
  <c r="G242" i="53"/>
  <c r="C242" i="53"/>
  <c r="N241" i="53"/>
  <c r="M241" i="53"/>
  <c r="L241" i="53"/>
  <c r="I241" i="53"/>
  <c r="H241" i="53"/>
  <c r="G241" i="53"/>
  <c r="C241" i="53"/>
  <c r="N240" i="53"/>
  <c r="M240" i="53"/>
  <c r="L240" i="53"/>
  <c r="I240" i="53"/>
  <c r="H240" i="53"/>
  <c r="G240" i="53"/>
  <c r="C240" i="53"/>
  <c r="N239" i="53"/>
  <c r="M239" i="53"/>
  <c r="L239" i="53"/>
  <c r="I239" i="53"/>
  <c r="H239" i="53"/>
  <c r="G239" i="53"/>
  <c r="C239" i="53"/>
  <c r="N238" i="53"/>
  <c r="M238" i="53"/>
  <c r="L238" i="53"/>
  <c r="I238" i="53"/>
  <c r="H238" i="53"/>
  <c r="G238" i="53"/>
  <c r="C238" i="53"/>
  <c r="N237" i="53"/>
  <c r="M237" i="53"/>
  <c r="L237" i="53"/>
  <c r="I237" i="53"/>
  <c r="H237" i="53"/>
  <c r="G237" i="53"/>
  <c r="C237" i="53"/>
  <c r="N236" i="53"/>
  <c r="M236" i="53"/>
  <c r="L236" i="53"/>
  <c r="I236" i="53"/>
  <c r="H236" i="53"/>
  <c r="G236" i="53"/>
  <c r="C236" i="53"/>
  <c r="N235" i="53"/>
  <c r="M235" i="53"/>
  <c r="L235" i="53"/>
  <c r="I235" i="53"/>
  <c r="H235" i="53"/>
  <c r="G235" i="53"/>
  <c r="C235" i="53"/>
  <c r="N234" i="53"/>
  <c r="M234" i="53"/>
  <c r="L234" i="53"/>
  <c r="I234" i="53"/>
  <c r="H234" i="53"/>
  <c r="G234" i="53"/>
  <c r="C234" i="53"/>
  <c r="N233" i="53"/>
  <c r="M233" i="53"/>
  <c r="L233" i="53"/>
  <c r="I233" i="53"/>
  <c r="H233" i="53"/>
  <c r="G233" i="53"/>
  <c r="C233" i="53"/>
  <c r="N232" i="53"/>
  <c r="M232" i="53"/>
  <c r="L232" i="53"/>
  <c r="I232" i="53"/>
  <c r="H232" i="53"/>
  <c r="G232" i="53"/>
  <c r="C232" i="53"/>
  <c r="N231" i="53"/>
  <c r="M231" i="53"/>
  <c r="L231" i="53"/>
  <c r="I231" i="53"/>
  <c r="H231" i="53"/>
  <c r="G231" i="53"/>
  <c r="C231" i="53"/>
  <c r="N230" i="53"/>
  <c r="M230" i="53"/>
  <c r="L230" i="53"/>
  <c r="I230" i="53"/>
  <c r="H230" i="53"/>
  <c r="G230" i="53"/>
  <c r="C230" i="53"/>
  <c r="N229" i="53"/>
  <c r="M229" i="53"/>
  <c r="L229" i="53"/>
  <c r="I229" i="53"/>
  <c r="H229" i="53"/>
  <c r="G229" i="53"/>
  <c r="C229" i="53"/>
  <c r="N228" i="53"/>
  <c r="M228" i="53"/>
  <c r="L228" i="53"/>
  <c r="I228" i="53"/>
  <c r="H228" i="53"/>
  <c r="G228" i="53"/>
  <c r="C228" i="53"/>
  <c r="N227" i="53"/>
  <c r="M227" i="53"/>
  <c r="L227" i="53"/>
  <c r="I227" i="53"/>
  <c r="H227" i="53"/>
  <c r="G227" i="53"/>
  <c r="C227" i="53"/>
  <c r="N226" i="53"/>
  <c r="M226" i="53"/>
  <c r="L226" i="53"/>
  <c r="I226" i="53"/>
  <c r="H226" i="53"/>
  <c r="G226" i="53"/>
  <c r="C226" i="53"/>
  <c r="N225" i="53"/>
  <c r="M225" i="53"/>
  <c r="L225" i="53"/>
  <c r="I225" i="53"/>
  <c r="H225" i="53"/>
  <c r="G225" i="53"/>
  <c r="C225" i="53"/>
  <c r="N224" i="53"/>
  <c r="M224" i="53"/>
  <c r="L224" i="53"/>
  <c r="I224" i="53"/>
  <c r="H224" i="53"/>
  <c r="G224" i="53"/>
  <c r="C224" i="53"/>
  <c r="N223" i="53"/>
  <c r="M223" i="53"/>
  <c r="L223" i="53"/>
  <c r="I223" i="53"/>
  <c r="H223" i="53"/>
  <c r="G223" i="53"/>
  <c r="C223" i="53"/>
  <c r="N222" i="53"/>
  <c r="M222" i="53"/>
  <c r="L222" i="53"/>
  <c r="I222" i="53"/>
  <c r="H222" i="53"/>
  <c r="G222" i="53"/>
  <c r="C222" i="53"/>
  <c r="N221" i="53"/>
  <c r="M221" i="53"/>
  <c r="L221" i="53"/>
  <c r="I221" i="53"/>
  <c r="H221" i="53"/>
  <c r="G221" i="53"/>
  <c r="C221" i="53"/>
  <c r="N220" i="53"/>
  <c r="M220" i="53"/>
  <c r="L220" i="53"/>
  <c r="I220" i="53"/>
  <c r="H220" i="53"/>
  <c r="G220" i="53"/>
  <c r="C220" i="53"/>
  <c r="N219" i="53"/>
  <c r="M219" i="53"/>
  <c r="L219" i="53"/>
  <c r="I219" i="53"/>
  <c r="H219" i="53"/>
  <c r="G219" i="53"/>
  <c r="C219" i="53"/>
  <c r="N218" i="53"/>
  <c r="M218" i="53"/>
  <c r="L218" i="53"/>
  <c r="I218" i="53"/>
  <c r="H218" i="53"/>
  <c r="G218" i="53"/>
  <c r="C218" i="53"/>
  <c r="N217" i="53"/>
  <c r="M217" i="53"/>
  <c r="L217" i="53"/>
  <c r="I217" i="53"/>
  <c r="H217" i="53"/>
  <c r="G217" i="53"/>
  <c r="C217" i="53"/>
  <c r="N216" i="53"/>
  <c r="M216" i="53"/>
  <c r="L216" i="53"/>
  <c r="I216" i="53"/>
  <c r="H216" i="53"/>
  <c r="G216" i="53"/>
  <c r="C216" i="53"/>
  <c r="N215" i="53"/>
  <c r="M215" i="53"/>
  <c r="L215" i="53"/>
  <c r="I215" i="53"/>
  <c r="H215" i="53"/>
  <c r="G215" i="53"/>
  <c r="C215" i="53"/>
  <c r="N214" i="53"/>
  <c r="M214" i="53"/>
  <c r="L214" i="53"/>
  <c r="I214" i="53"/>
  <c r="H214" i="53"/>
  <c r="G214" i="53"/>
  <c r="C214" i="53"/>
  <c r="N213" i="53"/>
  <c r="M213" i="53"/>
  <c r="L213" i="53"/>
  <c r="I213" i="53"/>
  <c r="H213" i="53"/>
  <c r="G213" i="53"/>
  <c r="C213" i="53"/>
  <c r="N212" i="53"/>
  <c r="M212" i="53"/>
  <c r="L212" i="53"/>
  <c r="I212" i="53"/>
  <c r="H212" i="53"/>
  <c r="G212" i="53"/>
  <c r="C212" i="53"/>
  <c r="N211" i="53"/>
  <c r="M211" i="53"/>
  <c r="L211" i="53"/>
  <c r="I211" i="53"/>
  <c r="H211" i="53"/>
  <c r="G211" i="53"/>
  <c r="C211" i="53"/>
  <c r="N210" i="53"/>
  <c r="M210" i="53"/>
  <c r="L210" i="53"/>
  <c r="I210" i="53"/>
  <c r="H210" i="53"/>
  <c r="G210" i="53"/>
  <c r="C210" i="53"/>
  <c r="N209" i="53"/>
  <c r="M209" i="53"/>
  <c r="L209" i="53"/>
  <c r="I209" i="53"/>
  <c r="H209" i="53"/>
  <c r="G209" i="53"/>
  <c r="C209" i="53"/>
  <c r="N208" i="53"/>
  <c r="M208" i="53"/>
  <c r="L208" i="53"/>
  <c r="I208" i="53"/>
  <c r="H208" i="53"/>
  <c r="G208" i="53"/>
  <c r="C208" i="53"/>
  <c r="N207" i="53"/>
  <c r="M207" i="53"/>
  <c r="L207" i="53"/>
  <c r="I207" i="53"/>
  <c r="H207" i="53"/>
  <c r="G207" i="53"/>
  <c r="C207" i="53"/>
  <c r="N206" i="53"/>
  <c r="M206" i="53"/>
  <c r="L206" i="53"/>
  <c r="I206" i="53"/>
  <c r="H206" i="53"/>
  <c r="G206" i="53"/>
  <c r="C206" i="53"/>
  <c r="N205" i="53"/>
  <c r="M205" i="53"/>
  <c r="L205" i="53"/>
  <c r="I205" i="53"/>
  <c r="H205" i="53"/>
  <c r="G205" i="53"/>
  <c r="C205" i="53"/>
  <c r="N204" i="53"/>
  <c r="M204" i="53"/>
  <c r="L204" i="53"/>
  <c r="I204" i="53"/>
  <c r="H204" i="53"/>
  <c r="G204" i="53"/>
  <c r="C204" i="53"/>
  <c r="N203" i="53"/>
  <c r="M203" i="53"/>
  <c r="L203" i="53"/>
  <c r="I203" i="53"/>
  <c r="H203" i="53"/>
  <c r="G203" i="53"/>
  <c r="C203" i="53"/>
  <c r="N202" i="53"/>
  <c r="M202" i="53"/>
  <c r="L202" i="53"/>
  <c r="I202" i="53"/>
  <c r="H202" i="53"/>
  <c r="G202" i="53"/>
  <c r="C202" i="53"/>
  <c r="N201" i="53"/>
  <c r="M201" i="53"/>
  <c r="L201" i="53"/>
  <c r="I201" i="53"/>
  <c r="H201" i="53"/>
  <c r="G201" i="53"/>
  <c r="C201" i="53"/>
  <c r="N200" i="53"/>
  <c r="M200" i="53"/>
  <c r="L200" i="53"/>
  <c r="I200" i="53"/>
  <c r="H200" i="53"/>
  <c r="G200" i="53"/>
  <c r="C200" i="53"/>
  <c r="N199" i="53"/>
  <c r="M199" i="53"/>
  <c r="L199" i="53"/>
  <c r="I199" i="53"/>
  <c r="H199" i="53"/>
  <c r="G199" i="53"/>
  <c r="C199" i="53"/>
  <c r="N198" i="53"/>
  <c r="M198" i="53"/>
  <c r="L198" i="53"/>
  <c r="I198" i="53"/>
  <c r="H198" i="53"/>
  <c r="G198" i="53"/>
  <c r="C198" i="53"/>
  <c r="N197" i="53"/>
  <c r="M197" i="53"/>
  <c r="L197" i="53"/>
  <c r="I197" i="53"/>
  <c r="H197" i="53"/>
  <c r="G197" i="53"/>
  <c r="C197" i="53"/>
  <c r="N196" i="53"/>
  <c r="M196" i="53"/>
  <c r="L196" i="53"/>
  <c r="I196" i="53"/>
  <c r="H196" i="53"/>
  <c r="G196" i="53"/>
  <c r="C196" i="53"/>
  <c r="N195" i="53"/>
  <c r="M195" i="53"/>
  <c r="L195" i="53"/>
  <c r="I195" i="53"/>
  <c r="H195" i="53"/>
  <c r="G195" i="53"/>
  <c r="C195" i="53"/>
  <c r="N194" i="53"/>
  <c r="M194" i="53"/>
  <c r="L194" i="53"/>
  <c r="I194" i="53"/>
  <c r="H194" i="53"/>
  <c r="G194" i="53"/>
  <c r="C194" i="53"/>
  <c r="N193" i="53"/>
  <c r="M193" i="53"/>
  <c r="L193" i="53"/>
  <c r="I193" i="53"/>
  <c r="H193" i="53"/>
  <c r="G193" i="53"/>
  <c r="C193" i="53"/>
  <c r="N192" i="53"/>
  <c r="M192" i="53"/>
  <c r="L192" i="53"/>
  <c r="I192" i="53"/>
  <c r="H192" i="53"/>
  <c r="G192" i="53"/>
  <c r="C192" i="53"/>
  <c r="N191" i="53"/>
  <c r="M191" i="53"/>
  <c r="L191" i="53"/>
  <c r="I191" i="53"/>
  <c r="H191" i="53"/>
  <c r="G191" i="53"/>
  <c r="C191" i="53"/>
  <c r="N190" i="53"/>
  <c r="M190" i="53"/>
  <c r="L190" i="53"/>
  <c r="I190" i="53"/>
  <c r="H190" i="53"/>
  <c r="G190" i="53"/>
  <c r="C190" i="53"/>
  <c r="N189" i="53"/>
  <c r="M189" i="53"/>
  <c r="L189" i="53"/>
  <c r="I189" i="53"/>
  <c r="H189" i="53"/>
  <c r="G189" i="53"/>
  <c r="C189" i="53"/>
  <c r="N188" i="53"/>
  <c r="M188" i="53"/>
  <c r="L188" i="53"/>
  <c r="I188" i="53"/>
  <c r="H188" i="53"/>
  <c r="G188" i="53"/>
  <c r="C188" i="53"/>
  <c r="N187" i="53"/>
  <c r="M187" i="53"/>
  <c r="L187" i="53"/>
  <c r="I187" i="53"/>
  <c r="H187" i="53"/>
  <c r="G187" i="53"/>
  <c r="C187" i="53"/>
  <c r="N186" i="53"/>
  <c r="M186" i="53"/>
  <c r="L186" i="53"/>
  <c r="I186" i="53"/>
  <c r="H186" i="53"/>
  <c r="G186" i="53"/>
  <c r="C186" i="53"/>
  <c r="N185" i="53"/>
  <c r="M185" i="53"/>
  <c r="L185" i="53"/>
  <c r="I185" i="53"/>
  <c r="H185" i="53"/>
  <c r="G185" i="53"/>
  <c r="C185" i="53"/>
  <c r="N184" i="53"/>
  <c r="M184" i="53"/>
  <c r="L184" i="53"/>
  <c r="I184" i="53"/>
  <c r="H184" i="53"/>
  <c r="G184" i="53"/>
  <c r="C184" i="53"/>
  <c r="N183" i="53"/>
  <c r="M183" i="53"/>
  <c r="L183" i="53"/>
  <c r="I183" i="53"/>
  <c r="H183" i="53"/>
  <c r="G183" i="53"/>
  <c r="C183" i="53"/>
  <c r="N182" i="53"/>
  <c r="M182" i="53"/>
  <c r="L182" i="53"/>
  <c r="I182" i="53"/>
  <c r="H182" i="53"/>
  <c r="G182" i="53"/>
  <c r="C182" i="53"/>
  <c r="N181" i="53"/>
  <c r="M181" i="53"/>
  <c r="L181" i="53"/>
  <c r="I181" i="53"/>
  <c r="H181" i="53"/>
  <c r="G181" i="53"/>
  <c r="C181" i="53"/>
  <c r="N180" i="53"/>
  <c r="M180" i="53"/>
  <c r="L180" i="53"/>
  <c r="I180" i="53"/>
  <c r="H180" i="53"/>
  <c r="G180" i="53"/>
  <c r="C180" i="53"/>
  <c r="N179" i="53"/>
  <c r="M179" i="53"/>
  <c r="L179" i="53"/>
  <c r="I179" i="53"/>
  <c r="H179" i="53"/>
  <c r="G179" i="53"/>
  <c r="C179" i="53"/>
  <c r="N178" i="53"/>
  <c r="M178" i="53"/>
  <c r="L178" i="53"/>
  <c r="I178" i="53"/>
  <c r="H178" i="53"/>
  <c r="G178" i="53"/>
  <c r="C178" i="53"/>
  <c r="N177" i="53"/>
  <c r="M177" i="53"/>
  <c r="L177" i="53"/>
  <c r="I177" i="53"/>
  <c r="H177" i="53"/>
  <c r="G177" i="53"/>
  <c r="C177" i="53"/>
  <c r="N176" i="53"/>
  <c r="M176" i="53"/>
  <c r="L176" i="53"/>
  <c r="I176" i="53"/>
  <c r="H176" i="53"/>
  <c r="G176" i="53"/>
  <c r="C176" i="53"/>
  <c r="N175" i="53"/>
  <c r="M175" i="53"/>
  <c r="L175" i="53"/>
  <c r="I175" i="53"/>
  <c r="H175" i="53"/>
  <c r="G175" i="53"/>
  <c r="C175" i="53"/>
  <c r="N174" i="53"/>
  <c r="M174" i="53"/>
  <c r="L174" i="53"/>
  <c r="I174" i="53"/>
  <c r="H174" i="53"/>
  <c r="G174" i="53"/>
  <c r="C174" i="53"/>
  <c r="N173" i="53"/>
  <c r="M173" i="53"/>
  <c r="L173" i="53"/>
  <c r="I173" i="53"/>
  <c r="H173" i="53"/>
  <c r="G173" i="53"/>
  <c r="C173" i="53"/>
  <c r="N172" i="53"/>
  <c r="M172" i="53"/>
  <c r="L172" i="53"/>
  <c r="I172" i="53"/>
  <c r="H172" i="53"/>
  <c r="G172" i="53"/>
  <c r="C172" i="53"/>
  <c r="N171" i="53"/>
  <c r="M171" i="53"/>
  <c r="L171" i="53"/>
  <c r="I171" i="53"/>
  <c r="H171" i="53"/>
  <c r="G171" i="53"/>
  <c r="C171" i="53"/>
  <c r="N170" i="53"/>
  <c r="M170" i="53"/>
  <c r="L170" i="53"/>
  <c r="I170" i="53"/>
  <c r="H170" i="53"/>
  <c r="G170" i="53"/>
  <c r="C170" i="53"/>
  <c r="N169" i="53"/>
  <c r="M169" i="53"/>
  <c r="L169" i="53"/>
  <c r="I169" i="53"/>
  <c r="H169" i="53"/>
  <c r="G169" i="53"/>
  <c r="C169" i="53"/>
  <c r="N168" i="53"/>
  <c r="M168" i="53"/>
  <c r="L168" i="53"/>
  <c r="I168" i="53"/>
  <c r="H168" i="53"/>
  <c r="G168" i="53"/>
  <c r="C168" i="53"/>
  <c r="N167" i="53"/>
  <c r="M167" i="53"/>
  <c r="L167" i="53"/>
  <c r="I167" i="53"/>
  <c r="H167" i="53"/>
  <c r="G167" i="53"/>
  <c r="C167" i="53"/>
  <c r="N166" i="53"/>
  <c r="M166" i="53"/>
  <c r="L166" i="53"/>
  <c r="I166" i="53"/>
  <c r="H166" i="53"/>
  <c r="G166" i="53"/>
  <c r="C166" i="53"/>
  <c r="N165" i="53"/>
  <c r="M165" i="53"/>
  <c r="L165" i="53"/>
  <c r="I165" i="53"/>
  <c r="H165" i="53"/>
  <c r="G165" i="53"/>
  <c r="C165" i="53"/>
  <c r="N164" i="53"/>
  <c r="M164" i="53"/>
  <c r="L164" i="53"/>
  <c r="I164" i="53"/>
  <c r="H164" i="53"/>
  <c r="G164" i="53"/>
  <c r="C164" i="53"/>
  <c r="N163" i="53"/>
  <c r="M163" i="53"/>
  <c r="L163" i="53"/>
  <c r="I163" i="53"/>
  <c r="H163" i="53"/>
  <c r="G163" i="53"/>
  <c r="C163" i="53"/>
  <c r="N162" i="53"/>
  <c r="M162" i="53"/>
  <c r="L162" i="53"/>
  <c r="I162" i="53"/>
  <c r="H162" i="53"/>
  <c r="G162" i="53"/>
  <c r="C162" i="53"/>
  <c r="N161" i="53"/>
  <c r="M161" i="53"/>
  <c r="L161" i="53"/>
  <c r="I161" i="53"/>
  <c r="H161" i="53"/>
  <c r="G161" i="53"/>
  <c r="C161" i="53"/>
  <c r="N160" i="53"/>
  <c r="M160" i="53"/>
  <c r="L160" i="53"/>
  <c r="I160" i="53"/>
  <c r="H160" i="53"/>
  <c r="G160" i="53"/>
  <c r="C160" i="53"/>
  <c r="N159" i="53"/>
  <c r="M159" i="53"/>
  <c r="L159" i="53"/>
  <c r="I159" i="53"/>
  <c r="H159" i="53"/>
  <c r="G159" i="53"/>
  <c r="C159" i="53"/>
  <c r="N158" i="53"/>
  <c r="M158" i="53"/>
  <c r="L158" i="53"/>
  <c r="I158" i="53"/>
  <c r="H158" i="53"/>
  <c r="G158" i="53"/>
  <c r="C158" i="53"/>
  <c r="N157" i="53"/>
  <c r="M157" i="53"/>
  <c r="L157" i="53"/>
  <c r="I157" i="53"/>
  <c r="H157" i="53"/>
  <c r="G157" i="53"/>
  <c r="C157" i="53"/>
  <c r="N156" i="53"/>
  <c r="M156" i="53"/>
  <c r="L156" i="53"/>
  <c r="I156" i="53"/>
  <c r="H156" i="53"/>
  <c r="G156" i="53"/>
  <c r="C156" i="53"/>
  <c r="N155" i="53"/>
  <c r="M155" i="53"/>
  <c r="L155" i="53"/>
  <c r="I155" i="53"/>
  <c r="H155" i="53"/>
  <c r="G155" i="53"/>
  <c r="C155" i="53"/>
  <c r="N154" i="53"/>
  <c r="M154" i="53"/>
  <c r="L154" i="53"/>
  <c r="I154" i="53"/>
  <c r="H154" i="53"/>
  <c r="G154" i="53"/>
  <c r="C154" i="53"/>
  <c r="N153" i="53"/>
  <c r="M153" i="53"/>
  <c r="L153" i="53"/>
  <c r="I153" i="53"/>
  <c r="H153" i="53"/>
  <c r="G153" i="53"/>
  <c r="C153" i="53"/>
  <c r="N152" i="53"/>
  <c r="M152" i="53"/>
  <c r="L152" i="53"/>
  <c r="I152" i="53"/>
  <c r="H152" i="53"/>
  <c r="G152" i="53"/>
  <c r="C152" i="53"/>
  <c r="N151" i="53"/>
  <c r="M151" i="53"/>
  <c r="L151" i="53"/>
  <c r="I151" i="53"/>
  <c r="H151" i="53"/>
  <c r="G151" i="53"/>
  <c r="C151" i="53"/>
  <c r="N150" i="53"/>
  <c r="M150" i="53"/>
  <c r="L150" i="53"/>
  <c r="I150" i="53"/>
  <c r="H150" i="53"/>
  <c r="G150" i="53"/>
  <c r="C150" i="53"/>
  <c r="N149" i="53"/>
  <c r="M149" i="53"/>
  <c r="L149" i="53"/>
  <c r="I149" i="53"/>
  <c r="H149" i="53"/>
  <c r="G149" i="53"/>
  <c r="C149" i="53"/>
  <c r="N148" i="53"/>
  <c r="M148" i="53"/>
  <c r="L148" i="53"/>
  <c r="I148" i="53"/>
  <c r="H148" i="53"/>
  <c r="G148" i="53"/>
  <c r="C148" i="53"/>
  <c r="N147" i="53"/>
  <c r="M147" i="53"/>
  <c r="L147" i="53"/>
  <c r="I147" i="53"/>
  <c r="H147" i="53"/>
  <c r="G147" i="53"/>
  <c r="C147" i="53"/>
  <c r="N146" i="53"/>
  <c r="M146" i="53"/>
  <c r="L146" i="53"/>
  <c r="I146" i="53"/>
  <c r="H146" i="53"/>
  <c r="G146" i="53"/>
  <c r="C146" i="53"/>
  <c r="N145" i="53"/>
  <c r="M145" i="53"/>
  <c r="L145" i="53"/>
  <c r="I145" i="53"/>
  <c r="H145" i="53"/>
  <c r="G145" i="53"/>
  <c r="C145" i="53"/>
  <c r="N144" i="53"/>
  <c r="M144" i="53"/>
  <c r="L144" i="53"/>
  <c r="I144" i="53"/>
  <c r="H144" i="53"/>
  <c r="G144" i="53"/>
  <c r="C144" i="53"/>
  <c r="N143" i="53"/>
  <c r="M143" i="53"/>
  <c r="L143" i="53"/>
  <c r="I143" i="53"/>
  <c r="H143" i="53"/>
  <c r="G143" i="53"/>
  <c r="C143" i="53"/>
  <c r="N142" i="53"/>
  <c r="M142" i="53"/>
  <c r="L142" i="53"/>
  <c r="I142" i="53"/>
  <c r="H142" i="53"/>
  <c r="G142" i="53"/>
  <c r="C142" i="53"/>
  <c r="N141" i="53"/>
  <c r="M141" i="53"/>
  <c r="L141" i="53"/>
  <c r="I141" i="53"/>
  <c r="H141" i="53"/>
  <c r="G141" i="53"/>
  <c r="C141" i="53"/>
  <c r="N140" i="53"/>
  <c r="M140" i="53"/>
  <c r="L140" i="53"/>
  <c r="I140" i="53"/>
  <c r="H140" i="53"/>
  <c r="G140" i="53"/>
  <c r="C140" i="53"/>
  <c r="N139" i="53"/>
  <c r="M139" i="53"/>
  <c r="L139" i="53"/>
  <c r="I139" i="53"/>
  <c r="H139" i="53"/>
  <c r="G139" i="53"/>
  <c r="C139" i="53"/>
  <c r="N138" i="53"/>
  <c r="M138" i="53"/>
  <c r="L138" i="53"/>
  <c r="I138" i="53"/>
  <c r="H138" i="53"/>
  <c r="G138" i="53"/>
  <c r="C138" i="53"/>
  <c r="N137" i="53"/>
  <c r="M137" i="53"/>
  <c r="L137" i="53"/>
  <c r="I137" i="53"/>
  <c r="H137" i="53"/>
  <c r="G137" i="53"/>
  <c r="C137" i="53"/>
  <c r="N136" i="53"/>
  <c r="M136" i="53"/>
  <c r="L136" i="53"/>
  <c r="I136" i="53"/>
  <c r="H136" i="53"/>
  <c r="G136" i="53"/>
  <c r="C136" i="53"/>
  <c r="N135" i="53"/>
  <c r="M135" i="53"/>
  <c r="L135" i="53"/>
  <c r="I135" i="53"/>
  <c r="H135" i="53"/>
  <c r="G135" i="53"/>
  <c r="C135" i="53"/>
  <c r="N134" i="53"/>
  <c r="M134" i="53"/>
  <c r="L134" i="53"/>
  <c r="I134" i="53"/>
  <c r="H134" i="53"/>
  <c r="G134" i="53"/>
  <c r="C134" i="53"/>
  <c r="N133" i="53"/>
  <c r="M133" i="53"/>
  <c r="L133" i="53"/>
  <c r="I133" i="53"/>
  <c r="H133" i="53"/>
  <c r="G133" i="53"/>
  <c r="C133" i="53"/>
  <c r="N132" i="53"/>
  <c r="M132" i="53"/>
  <c r="L132" i="53"/>
  <c r="I132" i="53"/>
  <c r="H132" i="53"/>
  <c r="G132" i="53"/>
  <c r="C132" i="53"/>
  <c r="N131" i="53"/>
  <c r="M131" i="53"/>
  <c r="L131" i="53"/>
  <c r="I131" i="53"/>
  <c r="H131" i="53"/>
  <c r="G131" i="53"/>
  <c r="C131" i="53"/>
  <c r="N130" i="53"/>
  <c r="M130" i="53"/>
  <c r="L130" i="53"/>
  <c r="I130" i="53"/>
  <c r="H130" i="53"/>
  <c r="G130" i="53"/>
  <c r="C130" i="53"/>
  <c r="N129" i="53"/>
  <c r="M129" i="53"/>
  <c r="L129" i="53"/>
  <c r="I129" i="53"/>
  <c r="H129" i="53"/>
  <c r="G129" i="53"/>
  <c r="C129" i="53"/>
  <c r="N128" i="53"/>
  <c r="M128" i="53"/>
  <c r="L128" i="53"/>
  <c r="I128" i="53"/>
  <c r="H128" i="53"/>
  <c r="G128" i="53"/>
  <c r="C128" i="53"/>
  <c r="N127" i="53"/>
  <c r="M127" i="53"/>
  <c r="L127" i="53"/>
  <c r="I127" i="53"/>
  <c r="H127" i="53"/>
  <c r="G127" i="53"/>
  <c r="C127" i="53"/>
  <c r="N126" i="53"/>
  <c r="M126" i="53"/>
  <c r="L126" i="53"/>
  <c r="I126" i="53"/>
  <c r="H126" i="53"/>
  <c r="G126" i="53"/>
  <c r="C126" i="53"/>
  <c r="N125" i="53"/>
  <c r="M125" i="53"/>
  <c r="L125" i="53"/>
  <c r="I125" i="53"/>
  <c r="H125" i="53"/>
  <c r="G125" i="53"/>
  <c r="C125" i="53"/>
  <c r="N124" i="53"/>
  <c r="M124" i="53"/>
  <c r="L124" i="53"/>
  <c r="I124" i="53"/>
  <c r="H124" i="53"/>
  <c r="G124" i="53"/>
  <c r="C124" i="53"/>
  <c r="N123" i="53"/>
  <c r="M123" i="53"/>
  <c r="L123" i="53"/>
  <c r="I123" i="53"/>
  <c r="H123" i="53"/>
  <c r="G123" i="53"/>
  <c r="C123" i="53"/>
  <c r="N122" i="53"/>
  <c r="M122" i="53"/>
  <c r="L122" i="53"/>
  <c r="I122" i="53"/>
  <c r="H122" i="53"/>
  <c r="G122" i="53"/>
  <c r="C122" i="53"/>
  <c r="N121" i="53"/>
  <c r="M121" i="53"/>
  <c r="L121" i="53"/>
  <c r="I121" i="53"/>
  <c r="H121" i="53"/>
  <c r="G121" i="53"/>
  <c r="C121" i="53"/>
  <c r="N120" i="53"/>
  <c r="M120" i="53"/>
  <c r="L120" i="53"/>
  <c r="I120" i="53"/>
  <c r="H120" i="53"/>
  <c r="G120" i="53"/>
  <c r="C120" i="53"/>
  <c r="N119" i="53"/>
  <c r="M119" i="53"/>
  <c r="L119" i="53"/>
  <c r="I119" i="53"/>
  <c r="H119" i="53"/>
  <c r="G119" i="53"/>
  <c r="C119" i="53"/>
  <c r="N118" i="53"/>
  <c r="M118" i="53"/>
  <c r="L118" i="53"/>
  <c r="I118" i="53"/>
  <c r="H118" i="53"/>
  <c r="G118" i="53"/>
  <c r="C118" i="53"/>
  <c r="N117" i="53"/>
  <c r="M117" i="53"/>
  <c r="L117" i="53"/>
  <c r="I117" i="53"/>
  <c r="H117" i="53"/>
  <c r="G117" i="53"/>
  <c r="C117" i="53"/>
  <c r="N116" i="53"/>
  <c r="M116" i="53"/>
  <c r="L116" i="53"/>
  <c r="I116" i="53"/>
  <c r="H116" i="53"/>
  <c r="G116" i="53"/>
  <c r="C116" i="53"/>
  <c r="N115" i="53"/>
  <c r="M115" i="53"/>
  <c r="L115" i="53"/>
  <c r="I115" i="53"/>
  <c r="H115" i="53"/>
  <c r="G115" i="53"/>
  <c r="C115" i="53"/>
  <c r="N114" i="53"/>
  <c r="M114" i="53"/>
  <c r="L114" i="53"/>
  <c r="I114" i="53"/>
  <c r="H114" i="53"/>
  <c r="G114" i="53"/>
  <c r="C114" i="53"/>
  <c r="N113" i="53"/>
  <c r="M113" i="53"/>
  <c r="L113" i="53"/>
  <c r="I113" i="53"/>
  <c r="H113" i="53"/>
  <c r="G113" i="53"/>
  <c r="C113" i="53"/>
  <c r="N112" i="53"/>
  <c r="M112" i="53"/>
  <c r="L112" i="53"/>
  <c r="I112" i="53"/>
  <c r="H112" i="53"/>
  <c r="G112" i="53"/>
  <c r="C112" i="53"/>
  <c r="N111" i="53"/>
  <c r="M111" i="53"/>
  <c r="L111" i="53"/>
  <c r="I111" i="53"/>
  <c r="H111" i="53"/>
  <c r="G111" i="53"/>
  <c r="C111" i="53"/>
  <c r="N110" i="53"/>
  <c r="M110" i="53"/>
  <c r="L110" i="53"/>
  <c r="I110" i="53"/>
  <c r="H110" i="53"/>
  <c r="G110" i="53"/>
  <c r="C110" i="53"/>
  <c r="N109" i="53"/>
  <c r="M109" i="53"/>
  <c r="L109" i="53"/>
  <c r="I109" i="53"/>
  <c r="H109" i="53"/>
  <c r="G109" i="53"/>
  <c r="C109" i="53"/>
  <c r="N108" i="53"/>
  <c r="M108" i="53"/>
  <c r="L108" i="53"/>
  <c r="I108" i="53"/>
  <c r="H108" i="53"/>
  <c r="G108" i="53"/>
  <c r="C108" i="53"/>
  <c r="N107" i="53"/>
  <c r="M107" i="53"/>
  <c r="L107" i="53"/>
  <c r="I107" i="53"/>
  <c r="H107" i="53"/>
  <c r="G107" i="53"/>
  <c r="C107" i="53"/>
  <c r="N106" i="53"/>
  <c r="M106" i="53"/>
  <c r="L106" i="53"/>
  <c r="I106" i="53"/>
  <c r="H106" i="53"/>
  <c r="G106" i="53"/>
  <c r="C106" i="53"/>
  <c r="N105" i="53"/>
  <c r="M105" i="53"/>
  <c r="L105" i="53"/>
  <c r="I105" i="53"/>
  <c r="H105" i="53"/>
  <c r="G105" i="53"/>
  <c r="C105" i="53"/>
  <c r="N104" i="53"/>
  <c r="M104" i="53"/>
  <c r="L104" i="53"/>
  <c r="I104" i="53"/>
  <c r="H104" i="53"/>
  <c r="G104" i="53"/>
  <c r="C104" i="53"/>
  <c r="N103" i="53"/>
  <c r="M103" i="53"/>
  <c r="L103" i="53"/>
  <c r="I103" i="53"/>
  <c r="H103" i="53"/>
  <c r="G103" i="53"/>
  <c r="C103" i="53"/>
  <c r="N102" i="53"/>
  <c r="M102" i="53"/>
  <c r="L102" i="53"/>
  <c r="I102" i="53"/>
  <c r="H102" i="53"/>
  <c r="G102" i="53"/>
  <c r="C102" i="53"/>
  <c r="N101" i="53"/>
  <c r="M101" i="53"/>
  <c r="L101" i="53"/>
  <c r="I101" i="53"/>
  <c r="H101" i="53"/>
  <c r="G101" i="53"/>
  <c r="C101" i="53"/>
  <c r="N100" i="53"/>
  <c r="M100" i="53"/>
  <c r="L100" i="53"/>
  <c r="I100" i="53"/>
  <c r="H100" i="53"/>
  <c r="G100" i="53"/>
  <c r="C100" i="53"/>
  <c r="N99" i="53"/>
  <c r="M99" i="53"/>
  <c r="L99" i="53"/>
  <c r="I99" i="53"/>
  <c r="H99" i="53"/>
  <c r="G99" i="53"/>
  <c r="C99" i="53"/>
  <c r="N98" i="53"/>
  <c r="M98" i="53"/>
  <c r="L98" i="53"/>
  <c r="I98" i="53"/>
  <c r="H98" i="53"/>
  <c r="G98" i="53"/>
  <c r="C98" i="53"/>
  <c r="N97" i="53"/>
  <c r="M97" i="53"/>
  <c r="L97" i="53"/>
  <c r="I97" i="53"/>
  <c r="H97" i="53"/>
  <c r="G97" i="53"/>
  <c r="C97" i="53"/>
  <c r="N96" i="53"/>
  <c r="M96" i="53"/>
  <c r="L96" i="53"/>
  <c r="I96" i="53"/>
  <c r="H96" i="53"/>
  <c r="G96" i="53"/>
  <c r="C96" i="53"/>
  <c r="N95" i="53"/>
  <c r="M95" i="53"/>
  <c r="L95" i="53"/>
  <c r="I95" i="53"/>
  <c r="H95" i="53"/>
  <c r="G95" i="53"/>
  <c r="C95" i="53"/>
  <c r="N94" i="53"/>
  <c r="M94" i="53"/>
  <c r="L94" i="53"/>
  <c r="I94" i="53"/>
  <c r="H94" i="53"/>
  <c r="G94" i="53"/>
  <c r="C94" i="53"/>
  <c r="N93" i="53"/>
  <c r="M93" i="53"/>
  <c r="L93" i="53"/>
  <c r="I93" i="53"/>
  <c r="H93" i="53"/>
  <c r="G93" i="53"/>
  <c r="C93" i="53"/>
  <c r="N92" i="53"/>
  <c r="M92" i="53"/>
  <c r="L92" i="53"/>
  <c r="I92" i="53"/>
  <c r="H92" i="53"/>
  <c r="G92" i="53"/>
  <c r="C92" i="53"/>
  <c r="N91" i="53"/>
  <c r="M91" i="53"/>
  <c r="L91" i="53"/>
  <c r="I91" i="53"/>
  <c r="H91" i="53"/>
  <c r="G91" i="53"/>
  <c r="C91" i="53"/>
  <c r="N90" i="53"/>
  <c r="M90" i="53"/>
  <c r="L90" i="53"/>
  <c r="I90" i="53"/>
  <c r="H90" i="53"/>
  <c r="G90" i="53"/>
  <c r="C90" i="53"/>
  <c r="N89" i="53"/>
  <c r="M89" i="53"/>
  <c r="L89" i="53"/>
  <c r="I89" i="53"/>
  <c r="H89" i="53"/>
  <c r="G89" i="53"/>
  <c r="C89" i="53"/>
  <c r="N88" i="53"/>
  <c r="M88" i="53"/>
  <c r="L88" i="53"/>
  <c r="I88" i="53"/>
  <c r="H88" i="53"/>
  <c r="G88" i="53"/>
  <c r="C88" i="53"/>
  <c r="N87" i="53"/>
  <c r="M87" i="53"/>
  <c r="L87" i="53"/>
  <c r="I87" i="53"/>
  <c r="H87" i="53"/>
  <c r="G87" i="53"/>
  <c r="C87" i="53"/>
  <c r="N86" i="53"/>
  <c r="M86" i="53"/>
  <c r="L86" i="53"/>
  <c r="I86" i="53"/>
  <c r="H86" i="53"/>
  <c r="G86" i="53"/>
  <c r="C86" i="53"/>
  <c r="N85" i="53"/>
  <c r="M85" i="53"/>
  <c r="L85" i="53"/>
  <c r="I85" i="53"/>
  <c r="H85" i="53"/>
  <c r="G85" i="53"/>
  <c r="C85" i="53"/>
  <c r="N84" i="53"/>
  <c r="M84" i="53"/>
  <c r="L84" i="53"/>
  <c r="I84" i="53"/>
  <c r="H84" i="53"/>
  <c r="G84" i="53"/>
  <c r="C84" i="53"/>
  <c r="N83" i="53"/>
  <c r="M83" i="53"/>
  <c r="L83" i="53"/>
  <c r="I83" i="53"/>
  <c r="H83" i="53"/>
  <c r="G83" i="53"/>
  <c r="C83" i="53"/>
  <c r="N82" i="53"/>
  <c r="M82" i="53"/>
  <c r="L82" i="53"/>
  <c r="I82" i="53"/>
  <c r="H82" i="53"/>
  <c r="G82" i="53"/>
  <c r="C82" i="53"/>
  <c r="N81" i="53"/>
  <c r="M81" i="53"/>
  <c r="L81" i="53"/>
  <c r="I81" i="53"/>
  <c r="H81" i="53"/>
  <c r="G81" i="53"/>
  <c r="C81" i="53"/>
  <c r="N80" i="53"/>
  <c r="M80" i="53"/>
  <c r="L80" i="53"/>
  <c r="I80" i="53"/>
  <c r="H80" i="53"/>
  <c r="G80" i="53"/>
  <c r="C80" i="53"/>
  <c r="N79" i="53"/>
  <c r="M79" i="53"/>
  <c r="L79" i="53"/>
  <c r="I79" i="53"/>
  <c r="H79" i="53"/>
  <c r="G79" i="53"/>
  <c r="C79" i="53"/>
  <c r="N78" i="53"/>
  <c r="M78" i="53"/>
  <c r="L78" i="53"/>
  <c r="I78" i="53"/>
  <c r="H78" i="53"/>
  <c r="G78" i="53"/>
  <c r="C78" i="53"/>
  <c r="N77" i="53"/>
  <c r="M77" i="53"/>
  <c r="L77" i="53"/>
  <c r="I77" i="53"/>
  <c r="H77" i="53"/>
  <c r="G77" i="53"/>
  <c r="C77" i="53"/>
  <c r="N76" i="53"/>
  <c r="M76" i="53"/>
  <c r="L76" i="53"/>
  <c r="I76" i="53"/>
  <c r="H76" i="53"/>
  <c r="G76" i="53"/>
  <c r="C76" i="53"/>
  <c r="N75" i="53"/>
  <c r="M75" i="53"/>
  <c r="L75" i="53"/>
  <c r="I75" i="53"/>
  <c r="H75" i="53"/>
  <c r="G75" i="53"/>
  <c r="C75" i="53"/>
  <c r="N74" i="53"/>
  <c r="M74" i="53"/>
  <c r="L74" i="53"/>
  <c r="I74" i="53"/>
  <c r="H74" i="53"/>
  <c r="G74" i="53"/>
  <c r="C74" i="53"/>
  <c r="N73" i="53"/>
  <c r="M73" i="53"/>
  <c r="L73" i="53"/>
  <c r="I73" i="53"/>
  <c r="H73" i="53"/>
  <c r="G73" i="53"/>
  <c r="C73" i="53"/>
  <c r="N72" i="53"/>
  <c r="M72" i="53"/>
  <c r="L72" i="53"/>
  <c r="I72" i="53"/>
  <c r="H72" i="53"/>
  <c r="G72" i="53"/>
  <c r="C72" i="53"/>
  <c r="N71" i="53"/>
  <c r="M71" i="53"/>
  <c r="L71" i="53"/>
  <c r="I71" i="53"/>
  <c r="H71" i="53"/>
  <c r="G71" i="53"/>
  <c r="C71" i="53"/>
  <c r="N70" i="53"/>
  <c r="M70" i="53"/>
  <c r="L70" i="53"/>
  <c r="I70" i="53"/>
  <c r="H70" i="53"/>
  <c r="G70" i="53"/>
  <c r="C70" i="53"/>
  <c r="N69" i="53"/>
  <c r="M69" i="53"/>
  <c r="L69" i="53"/>
  <c r="I69" i="53"/>
  <c r="H69" i="53"/>
  <c r="G69" i="53"/>
  <c r="C69" i="53"/>
  <c r="N68" i="53"/>
  <c r="M68" i="53"/>
  <c r="L68" i="53"/>
  <c r="I68" i="53"/>
  <c r="H68" i="53"/>
  <c r="G68" i="53"/>
  <c r="C68" i="53"/>
  <c r="N67" i="53"/>
  <c r="M67" i="53"/>
  <c r="L67" i="53"/>
  <c r="I67" i="53"/>
  <c r="H67" i="53"/>
  <c r="G67" i="53"/>
  <c r="C67" i="53"/>
  <c r="N66" i="53"/>
  <c r="M66" i="53"/>
  <c r="L66" i="53"/>
  <c r="I66" i="53"/>
  <c r="H66" i="53"/>
  <c r="G66" i="53"/>
  <c r="C66" i="53"/>
  <c r="N65" i="53"/>
  <c r="M65" i="53"/>
  <c r="L65" i="53"/>
  <c r="I65" i="53"/>
  <c r="H65" i="53"/>
  <c r="G65" i="53"/>
  <c r="C65" i="53"/>
  <c r="N64" i="53"/>
  <c r="M64" i="53"/>
  <c r="L64" i="53"/>
  <c r="I64" i="53"/>
  <c r="H64" i="53"/>
  <c r="G64" i="53"/>
  <c r="C64" i="53"/>
  <c r="N63" i="53"/>
  <c r="M63" i="53"/>
  <c r="L63" i="53"/>
  <c r="I63" i="53"/>
  <c r="H63" i="53"/>
  <c r="G63" i="53"/>
  <c r="C63" i="53"/>
  <c r="N62" i="53"/>
  <c r="M62" i="53"/>
  <c r="L62" i="53"/>
  <c r="I62" i="53"/>
  <c r="H62" i="53"/>
  <c r="G62" i="53"/>
  <c r="C62" i="53"/>
  <c r="N61" i="53"/>
  <c r="M61" i="53"/>
  <c r="L61" i="53"/>
  <c r="I61" i="53"/>
  <c r="H61" i="53"/>
  <c r="G61" i="53"/>
  <c r="C61" i="53"/>
  <c r="N60" i="53"/>
  <c r="M60" i="53"/>
  <c r="L60" i="53"/>
  <c r="I60" i="53"/>
  <c r="H60" i="53"/>
  <c r="G60" i="53"/>
  <c r="C60" i="53"/>
  <c r="N59" i="53"/>
  <c r="M59" i="53"/>
  <c r="L59" i="53"/>
  <c r="I59" i="53"/>
  <c r="H59" i="53"/>
  <c r="G59" i="53"/>
  <c r="C59" i="53"/>
  <c r="N58" i="53"/>
  <c r="M58" i="53"/>
  <c r="L58" i="53"/>
  <c r="I58" i="53"/>
  <c r="H58" i="53"/>
  <c r="G58" i="53"/>
  <c r="C58" i="53"/>
  <c r="N57" i="53"/>
  <c r="M57" i="53"/>
  <c r="L57" i="53"/>
  <c r="I57" i="53"/>
  <c r="H57" i="53"/>
  <c r="G57" i="53"/>
  <c r="C57" i="53"/>
  <c r="N56" i="53"/>
  <c r="M56" i="53"/>
  <c r="L56" i="53"/>
  <c r="I56" i="53"/>
  <c r="H56" i="53"/>
  <c r="G56" i="53"/>
  <c r="C56" i="53"/>
  <c r="N55" i="53"/>
  <c r="M55" i="53"/>
  <c r="L55" i="53"/>
  <c r="I55" i="53"/>
  <c r="H55" i="53"/>
  <c r="G55" i="53"/>
  <c r="C55" i="53"/>
  <c r="N54" i="53"/>
  <c r="M54" i="53"/>
  <c r="L54" i="53"/>
  <c r="I54" i="53"/>
  <c r="H54" i="53"/>
  <c r="G54" i="53"/>
  <c r="C54" i="53"/>
  <c r="N53" i="53"/>
  <c r="M53" i="53"/>
  <c r="L53" i="53"/>
  <c r="I53" i="53"/>
  <c r="H53" i="53"/>
  <c r="G53" i="53"/>
  <c r="C53" i="53"/>
  <c r="N52" i="53"/>
  <c r="M52" i="53"/>
  <c r="L52" i="53"/>
  <c r="I52" i="53"/>
  <c r="H52" i="53"/>
  <c r="G52" i="53"/>
  <c r="C52" i="53"/>
  <c r="N51" i="53"/>
  <c r="M51" i="53"/>
  <c r="L51" i="53"/>
  <c r="I51" i="53"/>
  <c r="H51" i="53"/>
  <c r="G51" i="53"/>
  <c r="C51" i="53"/>
  <c r="N50" i="53"/>
  <c r="M50" i="53"/>
  <c r="L50" i="53"/>
  <c r="I50" i="53"/>
  <c r="H50" i="53"/>
  <c r="G50" i="53"/>
  <c r="C50" i="53"/>
  <c r="N49" i="53"/>
  <c r="M49" i="53"/>
  <c r="L49" i="53"/>
  <c r="I49" i="53"/>
  <c r="H49" i="53"/>
  <c r="G49" i="53"/>
  <c r="C49" i="53"/>
  <c r="N48" i="53"/>
  <c r="M48" i="53"/>
  <c r="L48" i="53"/>
  <c r="I48" i="53"/>
  <c r="H48" i="53"/>
  <c r="G48" i="53"/>
  <c r="C48" i="53"/>
  <c r="N47" i="53"/>
  <c r="M47" i="53"/>
  <c r="L47" i="53"/>
  <c r="I47" i="53"/>
  <c r="H47" i="53"/>
  <c r="G47" i="53"/>
  <c r="C47" i="53"/>
  <c r="N46" i="53"/>
  <c r="M46" i="53"/>
  <c r="L46" i="53"/>
  <c r="I46" i="53"/>
  <c r="H46" i="53"/>
  <c r="G46" i="53"/>
  <c r="C46" i="53"/>
  <c r="N45" i="53"/>
  <c r="M45" i="53"/>
  <c r="L45" i="53"/>
  <c r="I45" i="53"/>
  <c r="H45" i="53"/>
  <c r="G45" i="53"/>
  <c r="C45" i="53"/>
  <c r="N44" i="53"/>
  <c r="M44" i="53"/>
  <c r="L44" i="53"/>
  <c r="I44" i="53"/>
  <c r="H44" i="53"/>
  <c r="G44" i="53"/>
  <c r="C44" i="53"/>
  <c r="N43" i="53"/>
  <c r="M43" i="53"/>
  <c r="L43" i="53"/>
  <c r="I43" i="53"/>
  <c r="H43" i="53"/>
  <c r="G43" i="53"/>
  <c r="C43" i="53"/>
  <c r="N42" i="53"/>
  <c r="M42" i="53"/>
  <c r="L42" i="53"/>
  <c r="I42" i="53"/>
  <c r="H42" i="53"/>
  <c r="G42" i="53"/>
  <c r="C42" i="53"/>
  <c r="N41" i="53"/>
  <c r="M41" i="53"/>
  <c r="L41" i="53"/>
  <c r="I41" i="53"/>
  <c r="H41" i="53"/>
  <c r="G41" i="53"/>
  <c r="C41" i="53"/>
  <c r="N40" i="53"/>
  <c r="M40" i="53"/>
  <c r="L40" i="53"/>
  <c r="I40" i="53"/>
  <c r="H40" i="53"/>
  <c r="G40" i="53"/>
  <c r="C40" i="53"/>
  <c r="N39" i="53"/>
  <c r="M39" i="53"/>
  <c r="L39" i="53"/>
  <c r="I39" i="53"/>
  <c r="H39" i="53"/>
  <c r="G39" i="53"/>
  <c r="C39" i="53"/>
  <c r="N38" i="53"/>
  <c r="M38" i="53"/>
  <c r="L38" i="53"/>
  <c r="I38" i="53"/>
  <c r="H38" i="53"/>
  <c r="G38" i="53"/>
  <c r="C38" i="53"/>
  <c r="N37" i="53"/>
  <c r="M37" i="53"/>
  <c r="L37" i="53"/>
  <c r="I37" i="53"/>
  <c r="H37" i="53"/>
  <c r="G37" i="53"/>
  <c r="C37" i="53"/>
  <c r="N36" i="53"/>
  <c r="M36" i="53"/>
  <c r="L36" i="53"/>
  <c r="I36" i="53"/>
  <c r="H36" i="53"/>
  <c r="G36" i="53"/>
  <c r="C36" i="53"/>
  <c r="N35" i="53"/>
  <c r="M35" i="53"/>
  <c r="L35" i="53"/>
  <c r="I35" i="53"/>
  <c r="H35" i="53"/>
  <c r="G35" i="53"/>
  <c r="C35" i="53"/>
  <c r="N34" i="53"/>
  <c r="M34" i="53"/>
  <c r="L34" i="53"/>
  <c r="I34" i="53"/>
  <c r="H34" i="53"/>
  <c r="G34" i="53"/>
  <c r="C34" i="53"/>
  <c r="N33" i="53"/>
  <c r="M33" i="53"/>
  <c r="L33" i="53"/>
  <c r="I33" i="53"/>
  <c r="H33" i="53"/>
  <c r="G33" i="53"/>
  <c r="C33" i="53"/>
  <c r="N32" i="53"/>
  <c r="M32" i="53"/>
  <c r="L32" i="53"/>
  <c r="I32" i="53"/>
  <c r="H32" i="53"/>
  <c r="G32" i="53"/>
  <c r="C32" i="53"/>
  <c r="N31" i="53"/>
  <c r="M31" i="53"/>
  <c r="L31" i="53"/>
  <c r="I31" i="53"/>
  <c r="H31" i="53"/>
  <c r="G31" i="53"/>
  <c r="C31" i="53"/>
  <c r="N30" i="53"/>
  <c r="M30" i="53"/>
  <c r="L30" i="53"/>
  <c r="I30" i="53"/>
  <c r="H30" i="53"/>
  <c r="G30" i="53"/>
  <c r="C30" i="53"/>
  <c r="N29" i="53"/>
  <c r="M29" i="53"/>
  <c r="L29" i="53"/>
  <c r="I29" i="53"/>
  <c r="H29" i="53"/>
  <c r="G29" i="53"/>
  <c r="C29" i="53"/>
  <c r="N28" i="53"/>
  <c r="M28" i="53"/>
  <c r="L28" i="53"/>
  <c r="I28" i="53"/>
  <c r="H28" i="53"/>
  <c r="G28" i="53"/>
  <c r="C28" i="53"/>
  <c r="N27" i="53"/>
  <c r="M27" i="53"/>
  <c r="L27" i="53"/>
  <c r="I27" i="53"/>
  <c r="H27" i="53"/>
  <c r="G27" i="53"/>
  <c r="C27" i="53"/>
  <c r="N26" i="53"/>
  <c r="M26" i="53"/>
  <c r="L26" i="53"/>
  <c r="I26" i="53"/>
  <c r="H26" i="53"/>
  <c r="G26" i="53"/>
  <c r="C26" i="53"/>
  <c r="N25" i="53"/>
  <c r="M25" i="53"/>
  <c r="L25" i="53"/>
  <c r="I25" i="53"/>
  <c r="H25" i="53"/>
  <c r="G25" i="53"/>
  <c r="C25" i="53"/>
  <c r="N24" i="53"/>
  <c r="M24" i="53"/>
  <c r="L24" i="53"/>
  <c r="I24" i="53"/>
  <c r="H24" i="53"/>
  <c r="G24" i="53"/>
  <c r="C24" i="53"/>
  <c r="N23" i="53"/>
  <c r="M23" i="53"/>
  <c r="L23" i="53"/>
  <c r="I23" i="53"/>
  <c r="H23" i="53"/>
  <c r="G23" i="53"/>
  <c r="C23" i="53"/>
  <c r="N22" i="53"/>
  <c r="M22" i="53"/>
  <c r="L22" i="53"/>
  <c r="I22" i="53"/>
  <c r="H22" i="53"/>
  <c r="G22" i="53"/>
  <c r="C22" i="53"/>
  <c r="N21" i="53"/>
  <c r="M21" i="53"/>
  <c r="L21" i="53"/>
  <c r="I21" i="53"/>
  <c r="H21" i="53"/>
  <c r="G21" i="53"/>
  <c r="C21" i="53"/>
  <c r="N20" i="53"/>
  <c r="M20" i="53"/>
  <c r="L20" i="53"/>
  <c r="I20" i="53"/>
  <c r="H20" i="53"/>
  <c r="G20" i="53"/>
  <c r="C20" i="53"/>
  <c r="N19" i="53"/>
  <c r="M19" i="53"/>
  <c r="L19" i="53"/>
  <c r="I19" i="53"/>
  <c r="H19" i="53"/>
  <c r="G19" i="53"/>
  <c r="C19" i="53"/>
  <c r="N18" i="53"/>
  <c r="M18" i="53"/>
  <c r="L18" i="53"/>
  <c r="I18" i="53"/>
  <c r="H18" i="53"/>
  <c r="G18" i="53"/>
  <c r="C18" i="53"/>
  <c r="N17" i="53"/>
  <c r="M17" i="53"/>
  <c r="L17" i="53"/>
  <c r="I17" i="53"/>
  <c r="H17" i="53"/>
  <c r="G17" i="53"/>
  <c r="C17" i="53"/>
  <c r="N16" i="53"/>
  <c r="M16" i="53"/>
  <c r="L16" i="53"/>
  <c r="I16" i="53"/>
  <c r="H16" i="53"/>
  <c r="G16" i="53"/>
  <c r="C16" i="53"/>
  <c r="N15" i="53"/>
  <c r="M15" i="53"/>
  <c r="L15" i="53"/>
  <c r="I15" i="53"/>
  <c r="H15" i="53"/>
  <c r="G15" i="53"/>
  <c r="C15" i="53"/>
  <c r="N14" i="53"/>
  <c r="M14" i="53"/>
  <c r="L14" i="53"/>
  <c r="I14" i="53"/>
  <c r="H14" i="53"/>
  <c r="G14" i="53"/>
  <c r="C14" i="53"/>
  <c r="N13" i="53"/>
  <c r="M13" i="53"/>
  <c r="L13" i="53"/>
  <c r="I13" i="53"/>
  <c r="H13" i="53"/>
  <c r="G13" i="53"/>
  <c r="C13" i="53"/>
  <c r="N12" i="53"/>
  <c r="M12" i="53"/>
  <c r="L12" i="53"/>
  <c r="I12" i="53"/>
  <c r="H12" i="53"/>
  <c r="G12" i="53"/>
  <c r="C12" i="53"/>
  <c r="N11" i="53"/>
  <c r="M11" i="53"/>
  <c r="L11" i="53"/>
  <c r="I11" i="53"/>
  <c r="H11" i="53"/>
  <c r="G11" i="53"/>
  <c r="C11" i="53"/>
  <c r="N10" i="53"/>
  <c r="M10" i="53"/>
  <c r="L10" i="53"/>
  <c r="I10" i="53"/>
  <c r="H10" i="53"/>
  <c r="G10" i="53"/>
  <c r="C10" i="53"/>
  <c r="H4" i="53"/>
  <c r="H3" i="53"/>
  <c r="I418" i="53" l="1"/>
  <c r="M418" i="53"/>
  <c r="M417" i="53"/>
  <c r="M416" i="53"/>
  <c r="G421" i="53"/>
  <c r="M413" i="53"/>
  <c r="E421" i="53"/>
  <c r="J421" i="53"/>
  <c r="R69" i="4" l="1"/>
  <c r="R69" i="3"/>
  <c r="R69" i="2"/>
  <c r="B15" i="11"/>
  <c r="C15" i="11"/>
  <c r="F15" i="11" s="1"/>
  <c r="D15" i="11"/>
  <c r="G15" i="11" s="1"/>
  <c r="E15" i="11"/>
  <c r="H15" i="11"/>
  <c r="I15" i="11"/>
  <c r="B42" i="5"/>
  <c r="C42" i="5"/>
  <c r="F42" i="5" s="1"/>
  <c r="D42" i="5"/>
  <c r="E42" i="5"/>
  <c r="G42" i="5" s="1"/>
  <c r="H42" i="5"/>
  <c r="I42" i="5"/>
  <c r="B22" i="5"/>
  <c r="F22" i="5" s="1"/>
  <c r="C22" i="5"/>
  <c r="D22" i="5"/>
  <c r="G22" i="5" s="1"/>
  <c r="E22" i="5"/>
  <c r="H22" i="5"/>
  <c r="I22" i="5"/>
  <c r="B16" i="19"/>
  <c r="C16" i="19"/>
  <c r="F16" i="19" s="1"/>
  <c r="D16" i="19"/>
  <c r="E16" i="19"/>
  <c r="G16" i="19" s="1"/>
  <c r="H16" i="19"/>
  <c r="I16" i="19"/>
  <c r="C37" i="18"/>
  <c r="D37" i="18"/>
  <c r="G37" i="18" s="1"/>
  <c r="E37" i="18"/>
  <c r="F37" i="18"/>
  <c r="I37" i="18"/>
  <c r="J37" i="18"/>
  <c r="K37" i="18"/>
  <c r="L37" i="18"/>
  <c r="B33" i="17"/>
  <c r="C33" i="17"/>
  <c r="D33" i="17"/>
  <c r="G33" i="17" s="1"/>
  <c r="E33" i="17"/>
  <c r="F33" i="17"/>
  <c r="H33" i="17"/>
  <c r="I33" i="17"/>
  <c r="B68" i="16"/>
  <c r="C68" i="16"/>
  <c r="D68" i="16"/>
  <c r="E68" i="16"/>
  <c r="H68" i="16"/>
  <c r="I68" i="16"/>
  <c r="G68" i="16" s="1"/>
  <c r="J68" i="16"/>
  <c r="K68" i="16"/>
  <c r="L68" i="16"/>
  <c r="M68" i="16"/>
  <c r="P68" i="16"/>
  <c r="Q68" i="16"/>
  <c r="O68" i="16" s="1"/>
  <c r="J10" i="12"/>
  <c r="J11" i="12"/>
  <c r="J12" i="12"/>
  <c r="J13" i="12"/>
  <c r="J14" i="12"/>
  <c r="J15" i="12"/>
  <c r="J16" i="12"/>
  <c r="J17" i="12"/>
  <c r="K10" i="12"/>
  <c r="K11" i="12"/>
  <c r="K12" i="12"/>
  <c r="K13" i="12"/>
  <c r="K14" i="12"/>
  <c r="K15" i="12"/>
  <c r="K16" i="12"/>
  <c r="K17" i="12"/>
  <c r="D269" i="36"/>
  <c r="E269" i="36"/>
  <c r="H269" i="36" s="1"/>
  <c r="F269" i="36"/>
  <c r="I269" i="36" s="1"/>
  <c r="G269" i="36"/>
  <c r="D268" i="35"/>
  <c r="E268" i="35"/>
  <c r="H268" i="35" s="1"/>
  <c r="F268" i="35"/>
  <c r="I268" i="35" s="1"/>
  <c r="G268" i="35"/>
  <c r="D270" i="10"/>
  <c r="E270" i="10"/>
  <c r="H270" i="10" s="1"/>
  <c r="F270" i="10"/>
  <c r="G270" i="10"/>
  <c r="I270" i="10" s="1"/>
  <c r="B16" i="13"/>
  <c r="D9" i="13" s="1"/>
  <c r="C16" i="13"/>
  <c r="E15" i="13" s="1"/>
  <c r="F16" i="13"/>
  <c r="H9" i="13" s="1"/>
  <c r="G16" i="13"/>
  <c r="I13" i="13" s="1"/>
  <c r="E10" i="13"/>
  <c r="E11" i="13"/>
  <c r="H8" i="13"/>
  <c r="H12" i="13"/>
  <c r="I8" i="13"/>
  <c r="I9" i="13"/>
  <c r="I11" i="13"/>
  <c r="I14" i="13"/>
  <c r="I15" i="13"/>
  <c r="J8" i="13"/>
  <c r="J9" i="13"/>
  <c r="J10" i="13"/>
  <c r="J11" i="13"/>
  <c r="J12" i="13"/>
  <c r="J13" i="13"/>
  <c r="J14" i="13"/>
  <c r="J15" i="13"/>
  <c r="C357" i="8"/>
  <c r="D357" i="8"/>
  <c r="E357" i="8"/>
  <c r="K270" i="10" s="1"/>
  <c r="F357" i="8"/>
  <c r="M269" i="36" s="1"/>
  <c r="I357" i="8"/>
  <c r="J357" i="8"/>
  <c r="K357" i="8"/>
  <c r="L357" i="8"/>
  <c r="L270" i="10" l="1"/>
  <c r="G357" i="8"/>
  <c r="I12" i="13"/>
  <c r="E14" i="13"/>
  <c r="D8" i="13"/>
  <c r="J270" i="10"/>
  <c r="L268" i="35"/>
  <c r="L269" i="36"/>
  <c r="E13" i="13"/>
  <c r="J268" i="35"/>
  <c r="I10" i="13"/>
  <c r="E12" i="13"/>
  <c r="J269" i="36"/>
  <c r="F68" i="16"/>
  <c r="M270" i="10"/>
  <c r="E9" i="13"/>
  <c r="E8" i="13"/>
  <c r="H357" i="8"/>
  <c r="D12" i="13"/>
  <c r="M268" i="35"/>
  <c r="N68" i="16"/>
  <c r="H37" i="18"/>
  <c r="K269" i="36"/>
  <c r="K268" i="35"/>
  <c r="H14" i="13"/>
  <c r="H10" i="13"/>
  <c r="D14" i="13"/>
  <c r="D10" i="13"/>
  <c r="H15" i="13"/>
  <c r="H13" i="13"/>
  <c r="H11" i="13"/>
  <c r="D15" i="13"/>
  <c r="D13" i="13"/>
  <c r="D11" i="13"/>
  <c r="R68" i="4" l="1"/>
  <c r="R68" i="3"/>
  <c r="R68" i="2"/>
  <c r="R67" i="4" l="1"/>
  <c r="R67" i="3"/>
  <c r="R67" i="2"/>
  <c r="R66" i="4" l="1"/>
  <c r="R65" i="4"/>
  <c r="R64" i="4"/>
  <c r="R63" i="4"/>
  <c r="R62" i="4"/>
  <c r="R61" i="4"/>
  <c r="R66" i="3" l="1"/>
  <c r="R66" i="2"/>
  <c r="G22" i="1" l="1"/>
  <c r="F22" i="1"/>
  <c r="G23" i="1"/>
  <c r="F23" i="1"/>
  <c r="H22" i="1" l="1"/>
  <c r="H23" i="1"/>
  <c r="R65" i="3" l="1"/>
  <c r="R65" i="2"/>
  <c r="R64" i="3" l="1"/>
  <c r="R64" i="2"/>
  <c r="H16" i="13" l="1"/>
  <c r="D16" i="13"/>
  <c r="E16" i="13"/>
  <c r="I16" i="13"/>
  <c r="R63" i="3" l="1"/>
  <c r="R63" i="2"/>
  <c r="R62" i="3" l="1"/>
  <c r="R62" i="2"/>
  <c r="R60" i="2" l="1"/>
  <c r="R59" i="2"/>
  <c r="R58" i="2"/>
  <c r="R57" i="2"/>
  <c r="R56" i="2"/>
  <c r="R55" i="2"/>
  <c r="R54" i="2"/>
  <c r="R53" i="2"/>
  <c r="R52" i="2"/>
  <c r="R51" i="2"/>
  <c r="R50" i="2"/>
  <c r="R49" i="2"/>
  <c r="R61" i="3" l="1"/>
  <c r="R61" i="2"/>
  <c r="R49" i="4" l="1"/>
  <c r="S18" i="4"/>
  <c r="R18" i="4"/>
  <c r="R19" i="4"/>
  <c r="R60" i="3"/>
  <c r="R59" i="3"/>
  <c r="R58" i="3"/>
  <c r="R57" i="3"/>
  <c r="R56" i="3"/>
  <c r="R55" i="3"/>
  <c r="R54" i="3"/>
  <c r="R53" i="3"/>
  <c r="R52" i="3"/>
  <c r="R51" i="3"/>
  <c r="R50" i="3"/>
  <c r="R49" i="3"/>
  <c r="S18" i="3"/>
  <c r="R18" i="3"/>
  <c r="R19" i="3"/>
  <c r="Q18" i="36"/>
  <c r="P18" i="36"/>
  <c r="Q18" i="35"/>
  <c r="P18" i="35"/>
  <c r="P19" i="35"/>
  <c r="S18" i="2"/>
  <c r="R18" i="2"/>
  <c r="R19" i="2" l="1"/>
  <c r="I17" i="1" l="1"/>
  <c r="I16" i="1"/>
  <c r="I15" i="1"/>
  <c r="I14" i="1"/>
  <c r="J6" i="13"/>
  <c r="G15" i="1" l="1"/>
  <c r="F15" i="1"/>
  <c r="G14" i="1"/>
  <c r="F14" i="1"/>
  <c r="H15" i="1" l="1"/>
  <c r="H14" i="1"/>
  <c r="L38" i="13"/>
  <c r="L37" i="13"/>
  <c r="L36" i="13"/>
  <c r="L35" i="13"/>
  <c r="L34" i="13"/>
  <c r="L33" i="13"/>
  <c r="L32" i="13"/>
  <c r="G17" i="1" l="1"/>
  <c r="G16" i="1"/>
  <c r="M36" i="13" l="1"/>
  <c r="F16" i="1"/>
  <c r="H16" i="1" s="1"/>
  <c r="F17" i="1"/>
  <c r="G18" i="1"/>
  <c r="M37" i="13"/>
  <c r="M38" i="13"/>
  <c r="M35" i="13"/>
  <c r="F18" i="1" l="1"/>
  <c r="H18" i="1" s="1"/>
  <c r="M32" i="13"/>
  <c r="M33" i="13"/>
  <c r="M34" i="13"/>
  <c r="H17" i="1"/>
  <c r="I29" i="1" l="1"/>
  <c r="I24" i="1" l="1"/>
  <c r="I31" i="1"/>
  <c r="I26" i="1"/>
  <c r="I23" i="1"/>
  <c r="I22" i="1"/>
  <c r="I19" i="1"/>
  <c r="I18" i="1" l="1"/>
  <c r="G29" i="1" l="1"/>
  <c r="F29" i="1"/>
  <c r="G24" i="1"/>
  <c r="F24" i="1"/>
  <c r="F25" i="1" s="1"/>
  <c r="H29" i="1" l="1"/>
  <c r="H24" i="1"/>
  <c r="B18" i="12" l="1"/>
  <c r="D11" i="12" l="1"/>
  <c r="D13" i="12"/>
  <c r="D15" i="12"/>
  <c r="D17" i="12"/>
  <c r="D10" i="12"/>
  <c r="D12" i="12"/>
  <c r="D14" i="12"/>
  <c r="D16" i="12"/>
  <c r="G18" i="12" l="1"/>
  <c r="F18" i="12"/>
  <c r="C18" i="12"/>
  <c r="D18" i="12"/>
  <c r="H11" i="12" l="1"/>
  <c r="H13" i="12"/>
  <c r="H15" i="12"/>
  <c r="H17" i="12"/>
  <c r="H10" i="12"/>
  <c r="H12" i="12"/>
  <c r="H14" i="12"/>
  <c r="H16" i="12"/>
  <c r="E11" i="12"/>
  <c r="E13" i="12"/>
  <c r="E15" i="12"/>
  <c r="E17" i="12"/>
  <c r="E10" i="12"/>
  <c r="E12" i="12"/>
  <c r="E14" i="12"/>
  <c r="E16" i="12"/>
  <c r="I11" i="12"/>
  <c r="I13" i="12"/>
  <c r="I15" i="12"/>
  <c r="I17" i="12"/>
  <c r="I10" i="12"/>
  <c r="I12" i="12"/>
  <c r="I14" i="12"/>
  <c r="I16" i="12"/>
  <c r="H18" i="12"/>
  <c r="J18" i="12"/>
  <c r="E18" i="12"/>
  <c r="I18" i="12"/>
  <c r="K18" i="12"/>
  <c r="J5" i="16" l="1"/>
  <c r="B5" i="16"/>
  <c r="E6" i="11" l="1"/>
  <c r="D6" i="11"/>
  <c r="C6" i="11"/>
  <c r="B6" i="11"/>
  <c r="E30" i="5"/>
  <c r="D30" i="5"/>
  <c r="C30" i="5"/>
  <c r="B30" i="5"/>
  <c r="E6" i="5"/>
  <c r="D6" i="5"/>
  <c r="C6" i="5"/>
  <c r="B6" i="5"/>
  <c r="E6" i="19"/>
  <c r="D6" i="19"/>
  <c r="C6" i="19"/>
  <c r="B6" i="19"/>
  <c r="E6" i="17"/>
  <c r="D6" i="17"/>
  <c r="C6" i="17"/>
  <c r="B6" i="17"/>
  <c r="E6" i="20"/>
  <c r="D6" i="20"/>
  <c r="G6" i="20" s="1"/>
  <c r="C6" i="20"/>
  <c r="B6" i="20"/>
  <c r="F6" i="20" s="1"/>
  <c r="C7" i="16"/>
  <c r="B7" i="16"/>
  <c r="G8" i="12"/>
  <c r="F8" i="12"/>
  <c r="C8" i="12"/>
  <c r="B8" i="12"/>
  <c r="G39" i="36"/>
  <c r="F39" i="36"/>
  <c r="E39" i="36"/>
  <c r="D39" i="36"/>
  <c r="G38" i="35"/>
  <c r="F38" i="35"/>
  <c r="E38" i="35"/>
  <c r="D38" i="35"/>
  <c r="G40" i="10"/>
  <c r="F40" i="10"/>
  <c r="E40" i="10"/>
  <c r="D40" i="10"/>
  <c r="G6" i="13"/>
  <c r="F6" i="13"/>
  <c r="C6" i="13"/>
  <c r="B6" i="13"/>
  <c r="E6" i="21"/>
  <c r="D6" i="21"/>
  <c r="C6" i="21"/>
  <c r="B6" i="21"/>
  <c r="F6" i="8"/>
  <c r="E6" i="8"/>
  <c r="D6" i="8"/>
  <c r="C6" i="8"/>
  <c r="I6" i="11" l="1"/>
  <c r="H6" i="11"/>
  <c r="F6" i="11"/>
  <c r="I30" i="5"/>
  <c r="H30" i="5"/>
  <c r="F30" i="5"/>
  <c r="I6" i="5"/>
  <c r="H6" i="5"/>
  <c r="F6" i="5"/>
  <c r="I6" i="19"/>
  <c r="H6" i="19"/>
  <c r="F6" i="19"/>
  <c r="I6" i="17"/>
  <c r="H6" i="17"/>
  <c r="F6" i="17"/>
  <c r="Q7" i="16"/>
  <c r="P7" i="16"/>
  <c r="I8" i="12"/>
  <c r="K8" i="12"/>
  <c r="E8" i="12"/>
  <c r="J8" i="12"/>
  <c r="M39" i="36"/>
  <c r="K39" i="36"/>
  <c r="L39" i="36"/>
  <c r="J39" i="36"/>
  <c r="M38" i="35"/>
  <c r="I38" i="35"/>
  <c r="L38" i="35"/>
  <c r="H38" i="35"/>
  <c r="M40" i="10"/>
  <c r="I40" i="10"/>
  <c r="L40" i="10"/>
  <c r="H40" i="10"/>
  <c r="I6" i="13"/>
  <c r="H6" i="13"/>
  <c r="E6" i="13"/>
  <c r="D6" i="13"/>
  <c r="I6" i="21"/>
  <c r="H6" i="21"/>
  <c r="F6" i="21"/>
  <c r="L6" i="8"/>
  <c r="J6" i="8"/>
  <c r="K6" i="8"/>
  <c r="I6" i="8"/>
  <c r="G6" i="21" l="1"/>
  <c r="H6" i="8"/>
  <c r="J38" i="35"/>
  <c r="I39" i="36"/>
  <c r="G6" i="17"/>
  <c r="G6" i="11"/>
  <c r="G30" i="5"/>
  <c r="G6" i="5"/>
  <c r="G6" i="19"/>
  <c r="F7" i="16"/>
  <c r="J7" i="16"/>
  <c r="N7" i="16"/>
  <c r="G7" i="16"/>
  <c r="K7" i="16"/>
  <c r="O7" i="16"/>
  <c r="D7" i="16"/>
  <c r="H7" i="16"/>
  <c r="L7" i="16"/>
  <c r="E7" i="16"/>
  <c r="I7" i="16"/>
  <c r="M7" i="16"/>
  <c r="D8" i="12"/>
  <c r="H8" i="12"/>
  <c r="H39" i="36"/>
  <c r="K38" i="35"/>
  <c r="J40" i="10"/>
  <c r="K40" i="10"/>
  <c r="G6" i="8"/>
  <c r="R60" i="4" l="1"/>
  <c r="R59" i="4"/>
  <c r="R58" i="4"/>
  <c r="R57" i="4"/>
  <c r="R56" i="4"/>
  <c r="R55" i="4"/>
  <c r="R54" i="4"/>
  <c r="R53" i="4"/>
  <c r="R52" i="4"/>
  <c r="R51" i="4"/>
  <c r="R50" i="4"/>
  <c r="Q19" i="36" l="1"/>
  <c r="P19" i="36"/>
  <c r="R18" i="36"/>
  <c r="R18" i="35" l="1"/>
  <c r="Q19" i="35"/>
  <c r="G12" i="1" l="1"/>
  <c r="F12" i="1"/>
  <c r="G31" i="1"/>
  <c r="G30" i="1" s="1"/>
  <c r="F31" i="1"/>
  <c r="F30" i="1" s="1"/>
  <c r="G19" i="1"/>
  <c r="F19" i="1"/>
  <c r="G26" i="1"/>
  <c r="F26" i="1"/>
  <c r="G25" i="1" l="1"/>
  <c r="H30" i="1"/>
  <c r="H31" i="1"/>
  <c r="H26" i="1"/>
  <c r="H19" i="1"/>
  <c r="H25" i="1" l="1"/>
  <c r="S25" i="2" l="1"/>
  <c r="T18" i="2" l="1"/>
  <c r="T18" i="4" l="1"/>
  <c r="T18" i="3"/>
  <c r="L30" i="13" l="1"/>
  <c r="R18" i="10" l="1"/>
  <c r="S19" i="4" l="1"/>
  <c r="S19" i="3"/>
  <c r="S19" i="2"/>
  <c r="F6" i="18" l="1"/>
  <c r="L6" i="18" s="1"/>
  <c r="E6" i="18"/>
  <c r="J6" i="18" s="1"/>
  <c r="D6" i="18"/>
  <c r="K6" i="18" s="1"/>
  <c r="C6" i="18"/>
  <c r="I6" i="18" s="1"/>
  <c r="G6" i="18" l="1"/>
  <c r="H6"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bdsql12 BDnewRegistrations getAggBuss2" type="5" refreshedVersion="4" minRefreshableVersion="3" savePassword="1" deleted="1" saveData="1">
    <dbPr connection="" command=""/>
  </connection>
  <connection id="2" xr16:uid="{00000000-0015-0000-FFFF-FFFF01000000}" keepAlive="1" name="bdsql12 BDnewRegistrations getAggBussAlla" type="5" refreshedVersion="4" savePassword="1" deleted="1" saveData="1">
    <dbPr connection="" command=""/>
  </connection>
  <connection id="3" xr16:uid="{00000000-0015-0000-FFFF-FFFF02000000}" keepAlive="1" name="bdsql12 BDnewRegistrations getAggBussEL" type="5" refreshedVersion="4" savePassword="1" deleted="1" saveData="1">
    <dbPr connection="" command=""/>
  </connection>
  <connection id="4" xr16:uid="{00000000-0015-0000-FFFF-FFFF03000000}" keepAlive="1" name="bdsql12 BDnewRegistrations getAggFysJur" type="5" refreshedVersion="4" savePassword="1" deleted="1" saveData="1">
    <dbPr connection="" command=""/>
  </connection>
  <connection id="5" xr16:uid="{00000000-0015-0000-FFFF-FFFF04000000}" keepAlive="1" name="bdsql12 BDnewRegistrations getAggGAModels" type="5" refreshedVersion="4" savePassword="1" deleted="1" saveData="1">
    <dbPr connection="" command=""/>
  </connection>
  <connection id="6" xr16:uid="{00000000-0015-0000-FFFF-FFFF06000000}" keepAlive="1" name="bdsql12 BDnewRegistrations getAggLB" type="5" refreshedVersion="4" savePassword="1" deleted="1" saveData="1">
    <dbPr connection="" command=""/>
  </connection>
  <connection id="7" xr16:uid="{00000000-0015-0000-FFFF-FFFF07000000}" keepAlive="1" name="bdsql12 BDnewRegistrations getAggLBbyWeigth" type="5" refreshedVersion="4" savePassword="1" deleted="1" saveData="1">
    <dbPr connection="" command=""/>
  </connection>
  <connection id="8" xr16:uid="{00000000-0015-0000-FFFF-FFFF08000000}" keepAlive="1" name="bdsql12 BDnewRegistrations getAggMakes2" type="5" refreshedVersion="4" minRefreshableVersion="3" savePassword="1" deleted="1" saveData="1">
    <dbPr connection="" command=""/>
  </connection>
  <connection id="9" xr16:uid="{00000000-0015-0000-FFFF-FFFF09000000}" keepAlive="1" name="bdsql12 BDnewRegistrations getAggModels PB" type="5" refreshedVersion="4" savePassword="1" deleted="1" saveData="1">
    <dbPr connection="" command=""/>
  </connection>
  <connection id="10" xr16:uid="{00000000-0015-0000-FFFF-FFFF0A000000}" keepAlive="1" name="bdsql12 BDnewRegistrations getAggModelsFuelType LLB" type="5" refreshedVersion="4" savePassword="1" deleted="1" saveData="1">
    <dbPr connection="" command=""/>
  </connection>
  <connection id="11" xr16:uid="{00000000-0015-0000-FFFF-FFFF0C000000}" keepAlive="1" name="bdsql12 BDnewRegistrations getAggPBCO2EmissionsWLTP" type="5" refreshedVersion="4" savePassword="1" deleted="1" saveData="1">
    <dbPr connection="" command=""/>
  </connection>
  <connection id="12" xr16:uid="{00000000-0015-0000-FFFF-FFFF0D000000}" keepAlive="1" name="bdsql12 BDnewRegistrations getAggPBFuelTypes" type="5" refreshedVersion="4" savePassword="1" deleted="1" saveData="1">
    <dbPr connection="" command=""/>
  </connection>
  <connection id="13" xr16:uid="{00000000-0015-0000-FFFF-FFFF0E000000}" keepAlive="1" name="bdsql12 BDnewRegistrations getAggRechargeModelsII" type="5" refreshedVersion="4" savePassword="1" deleted="1" saveData="1">
    <dbPr connection="" command=""/>
  </connection>
  <connection id="14" xr16:uid="{00000000-0015-0000-FFFF-FFFF0F000000}" keepAlive="1" name="bdsql12 BDnewRegistrations getAggRechargeModelsII1" type="5" refreshedVersion="4" savePassword="1" deleted="1" saveData="1">
    <dbPr connection="" command=""/>
  </connection>
  <connection id="15" xr16:uid="{00000000-0015-0000-FFFF-FFFF10000000}" keepAlive="1" name="bdsql12 BDnewRegistrations getAggRechargeModelsII11" type="5" refreshedVersion="4" savePassword="1" deleted="1" saveData="1">
    <dbPr connection="" command=""/>
  </connection>
  <connection id="16" xr16:uid="{00000000-0015-0000-FFFF-FFFF12000000}" keepAlive="1" name="bdsql12 Transportstyrelsen sumPrelNyregImportBUSS" type="5" refreshedVersion="4" savePassword="1" deleted="1" saveData="1">
    <dbPr connection="" command=""/>
  </connection>
  <connection id="17" xr16:uid="{00000000-0015-0000-FFFF-FFFF13000000}" keepAlive="1" name="bdsql12 Transportstyrelsen sumPrelNyregImportPBTotaler" type="5" refreshedVersion="4" minRefreshableVersion="3" savePassword="1" deleted="1" saveData="1">
    <dbPr connection="" command=""/>
  </connection>
</connections>
</file>

<file path=xl/sharedStrings.xml><?xml version="1.0" encoding="utf-8"?>
<sst xmlns="http://schemas.openxmlformats.org/spreadsheetml/2006/main" count="3129" uniqueCount="1330">
  <si>
    <t>Klicka på en rubrik nedan för att gå till den aktuella fliken.</t>
  </si>
  <si>
    <t>Nyregistrerade lätta lastbilar</t>
  </si>
  <si>
    <t>Jan</t>
  </si>
  <si>
    <t>Feb</t>
  </si>
  <si>
    <t>Mars</t>
  </si>
  <si>
    <t>April</t>
  </si>
  <si>
    <t>Maj</t>
  </si>
  <si>
    <t>Juni</t>
  </si>
  <si>
    <t>Juli</t>
  </si>
  <si>
    <t>Aug</t>
  </si>
  <si>
    <t>Sep</t>
  </si>
  <si>
    <t>Okt</t>
  </si>
  <si>
    <t>Nov</t>
  </si>
  <si>
    <t>Dec</t>
  </si>
  <si>
    <t>Nyregistrerade personbilar per månad (% förändring)</t>
  </si>
  <si>
    <t>Nyregistrerade lätta lastbilar per månad</t>
  </si>
  <si>
    <t>Bensin</t>
  </si>
  <si>
    <t>Diesel</t>
  </si>
  <si>
    <t>Elhybrid</t>
  </si>
  <si>
    <t>Laddhybrid</t>
  </si>
  <si>
    <t>El</t>
  </si>
  <si>
    <t>Gas</t>
  </si>
  <si>
    <t>Etanol</t>
  </si>
  <si>
    <t>Över 140g</t>
  </si>
  <si>
    <t>no</t>
  </si>
  <si>
    <t>modell</t>
  </si>
  <si>
    <t>antalPerioden</t>
  </si>
  <si>
    <t>antalFGPeriod</t>
  </si>
  <si>
    <t>antalÅret</t>
  </si>
  <si>
    <t>antalFGAr</t>
  </si>
  <si>
    <t>changePeriod</t>
  </si>
  <si>
    <t>changeAret</t>
  </si>
  <si>
    <t>shrPeriod</t>
  </si>
  <si>
    <t>shrYear</t>
  </si>
  <si>
    <t>shrPrevPeriod</t>
  </si>
  <si>
    <t>shrPrevYear</t>
  </si>
  <si>
    <t>VOLVO S/V60</t>
  </si>
  <si>
    <t>VOLVO S/V90N</t>
  </si>
  <si>
    <t xml:space="preserve">VW GOLF                 </t>
  </si>
  <si>
    <t>VOLVO XC60</t>
  </si>
  <si>
    <t>VW TIGUAN</t>
  </si>
  <si>
    <t xml:space="preserve">VW PASSAT               </t>
  </si>
  <si>
    <t xml:space="preserve">KIA NIRO </t>
  </si>
  <si>
    <t>VOLVO XC40</t>
  </si>
  <si>
    <t>NISSAN QASHQAI</t>
  </si>
  <si>
    <t xml:space="preserve">TOYOTA COROLLA          </t>
  </si>
  <si>
    <t xml:space="preserve">SKODA OCTAVIA           </t>
  </si>
  <si>
    <t xml:space="preserve">TOYOTA YARIS            </t>
  </si>
  <si>
    <t>MERCEDES E-KLASS</t>
  </si>
  <si>
    <t>BMW 3-SERIE</t>
  </si>
  <si>
    <t xml:space="preserve">TOYOTA RAV 4            </t>
  </si>
  <si>
    <t>BMW 5-SERIE</t>
  </si>
  <si>
    <t>TOYOTA C-HR</t>
  </si>
  <si>
    <t>SKODA KODIAQ</t>
  </si>
  <si>
    <t xml:space="preserve">AUDI A6                 </t>
  </si>
  <si>
    <t>TESLA MODEL 3</t>
  </si>
  <si>
    <t xml:space="preserve">FORD FOCUS              </t>
  </si>
  <si>
    <t xml:space="preserve">MERCEDES C-KLASS        </t>
  </si>
  <si>
    <t xml:space="preserve">RENAULT CLIO            </t>
  </si>
  <si>
    <t>VW T-CROSS</t>
  </si>
  <si>
    <t xml:space="preserve">AUDI A4                 </t>
  </si>
  <si>
    <t xml:space="preserve">FIAT DUCATO             </t>
  </si>
  <si>
    <t xml:space="preserve">MERCEDES A-KLASS        </t>
  </si>
  <si>
    <t>DACIA DUSTER</t>
  </si>
  <si>
    <t>AUDI A3</t>
  </si>
  <si>
    <t xml:space="preserve">SKODA FABIA             </t>
  </si>
  <si>
    <t>SEAT LEON</t>
  </si>
  <si>
    <t>VOLVO XC90II</t>
  </si>
  <si>
    <t>RENAULT CAPTUR</t>
  </si>
  <si>
    <t>BMW 1-SERIE</t>
  </si>
  <si>
    <t>PEUGEOT 3008</t>
  </si>
  <si>
    <t>VW T-ROC</t>
  </si>
  <si>
    <t>SUBARU OUTBACK</t>
  </si>
  <si>
    <t>SKODA KAROQ</t>
  </si>
  <si>
    <t>MERCEDES GLC</t>
  </si>
  <si>
    <t>SKODA SUPERB</t>
  </si>
  <si>
    <t>AUDI Q3</t>
  </si>
  <si>
    <t>MERCEDES CLA</t>
  </si>
  <si>
    <t>BMW X3</t>
  </si>
  <si>
    <t>RENAULT ZOE</t>
  </si>
  <si>
    <t>AUDI Q5</t>
  </si>
  <si>
    <t>KIA STONIC</t>
  </si>
  <si>
    <t>BMW X1</t>
  </si>
  <si>
    <t>KIA PICANTO</t>
  </si>
  <si>
    <t>FORD KUGA</t>
  </si>
  <si>
    <t>SEAT ARONA</t>
  </si>
  <si>
    <t xml:space="preserve">KIA SPORTAGE            </t>
  </si>
  <si>
    <t>MINI HATCH</t>
  </si>
  <si>
    <t>HYUNDAI KONA</t>
  </si>
  <si>
    <t>MAZDA CX-5</t>
  </si>
  <si>
    <t>PEUGEOT 2008</t>
  </si>
  <si>
    <t xml:space="preserve">KIA RIO                 </t>
  </si>
  <si>
    <t xml:space="preserve">SEAT IBIZA            </t>
  </si>
  <si>
    <t>PEUGEOT 308</t>
  </si>
  <si>
    <t>NISSAN LEAF</t>
  </si>
  <si>
    <t xml:space="preserve">VW CADDY                </t>
  </si>
  <si>
    <t>MAZDA CX-3</t>
  </si>
  <si>
    <t>MINI COUNTRYMAN</t>
  </si>
  <si>
    <t>FIAT 500</t>
  </si>
  <si>
    <t>PEUGEOT 208</t>
  </si>
  <si>
    <t>SEAT ATECA</t>
  </si>
  <si>
    <t>AUDI Q2</t>
  </si>
  <si>
    <t>PEUGEOT 5008</t>
  </si>
  <si>
    <t xml:space="preserve">SUBARU FORESTER         </t>
  </si>
  <si>
    <t xml:space="preserve">RENAULT MEGANE          </t>
  </si>
  <si>
    <t>BMW I3</t>
  </si>
  <si>
    <t xml:space="preserve">FORD FIESTA             </t>
  </si>
  <si>
    <t>MERCEDES B-KLASS</t>
  </si>
  <si>
    <t>AUDI A5</t>
  </si>
  <si>
    <t>AUDI A1</t>
  </si>
  <si>
    <t>SEAT TARRACO</t>
  </si>
  <si>
    <t>BMW 2-SERIE</t>
  </si>
  <si>
    <t xml:space="preserve">SUZUKI VITARA           </t>
  </si>
  <si>
    <t>HYUNDAI I30</t>
  </si>
  <si>
    <t xml:space="preserve">HONDA CIVIC             </t>
  </si>
  <si>
    <t xml:space="preserve">HONDA CR-V              </t>
  </si>
  <si>
    <t>HYUNDAI TUCSON</t>
  </si>
  <si>
    <t>SUBARU XV</t>
  </si>
  <si>
    <t>DACIA SANDERO</t>
  </si>
  <si>
    <t>BMW X5</t>
  </si>
  <si>
    <t>MAZDA3</t>
  </si>
  <si>
    <t>RENAULT KADJAR</t>
  </si>
  <si>
    <t>HYUNDAI I20</t>
  </si>
  <si>
    <t>TOYOTA AYGO</t>
  </si>
  <si>
    <t>MAZDA CX-30</t>
  </si>
  <si>
    <t>VW TOUAREG</t>
  </si>
  <si>
    <t>CITROEN C3</t>
  </si>
  <si>
    <t>NISSAN JUKE</t>
  </si>
  <si>
    <t xml:space="preserve">SUZUKI SWIFT            </t>
  </si>
  <si>
    <t>PEUGEOT 508</t>
  </si>
  <si>
    <t>FIAT TIPO</t>
  </si>
  <si>
    <t xml:space="preserve">OPEL CORSA              </t>
  </si>
  <si>
    <t xml:space="preserve">VW SHARAN               </t>
  </si>
  <si>
    <t xml:space="preserve">FORD MONDEO             </t>
  </si>
  <si>
    <t>KIA SORENTO</t>
  </si>
  <si>
    <t>PORSCHE MACAN</t>
  </si>
  <si>
    <t>AUDI E-TRON</t>
  </si>
  <si>
    <t>TESLA MODEL X</t>
  </si>
  <si>
    <t>MINI CLUBMAN</t>
  </si>
  <si>
    <t>OPEL GRANDLAND X</t>
  </si>
  <si>
    <t>PORSCHE CAYENNE</t>
  </si>
  <si>
    <t>MERCEDES GLE</t>
  </si>
  <si>
    <t xml:space="preserve">OPEL ASTRA              </t>
  </si>
  <si>
    <t>SKODA SCALA</t>
  </si>
  <si>
    <t xml:space="preserve">HONDA HR-V              </t>
  </si>
  <si>
    <t>MITSUBISHI ECLIPSE</t>
  </si>
  <si>
    <t>VW TOURAN</t>
  </si>
  <si>
    <t>CITROEN C5 AIRCROSS</t>
  </si>
  <si>
    <t>HYUNDAI I10</t>
  </si>
  <si>
    <t>MERCEDES V-KLASS</t>
  </si>
  <si>
    <t>AUDI Q8</t>
  </si>
  <si>
    <t>JEEP COMPASS</t>
  </si>
  <si>
    <t>OPEL CROSSLAND X</t>
  </si>
  <si>
    <t>VW ARTEON</t>
  </si>
  <si>
    <t>FIAT 500X</t>
  </si>
  <si>
    <t>MAZDA2</t>
  </si>
  <si>
    <t>SUZUKI S-CROSS</t>
  </si>
  <si>
    <t>OPEL INSIGNIA</t>
  </si>
  <si>
    <t>FORD TRANSIT</t>
  </si>
  <si>
    <t xml:space="preserve">PORSCHE 911             </t>
  </si>
  <si>
    <t>LAND ROVER EVOQUE</t>
  </si>
  <si>
    <t>KIA SOUL</t>
  </si>
  <si>
    <t>MERCEDES GLA</t>
  </si>
  <si>
    <t>PORSCHE PANAMERA</t>
  </si>
  <si>
    <t xml:space="preserve">MAZDA MX5               </t>
  </si>
  <si>
    <t xml:space="preserve">TOYOTA CAMRY            </t>
  </si>
  <si>
    <t>BMW X4</t>
  </si>
  <si>
    <t>NISSAN X-TRAIL</t>
  </si>
  <si>
    <t xml:space="preserve">VW CARAVELLE            </t>
  </si>
  <si>
    <t>AUDI Q7</t>
  </si>
  <si>
    <t>JAGUAR E-PACE</t>
  </si>
  <si>
    <t>JAGUAR F-PACE</t>
  </si>
  <si>
    <t>VW MULTIVAN</t>
  </si>
  <si>
    <t>ALFA ROMEO STELVIO</t>
  </si>
  <si>
    <t xml:space="preserve">RENAULT TRAFIC          </t>
  </si>
  <si>
    <t>TOYOTA PROACE VERSO</t>
  </si>
  <si>
    <t>BMW 4-SERIE</t>
  </si>
  <si>
    <t xml:space="preserve">JEEP WRANGLER           </t>
  </si>
  <si>
    <t xml:space="preserve">HONDA JAZZ              </t>
  </si>
  <si>
    <t>BMW X2</t>
  </si>
  <si>
    <t>LAND ROVER DISCOVERY SPORT</t>
  </si>
  <si>
    <t xml:space="preserve">LR / RANGE ROVER        </t>
  </si>
  <si>
    <t>PEUGEOT RIFTER</t>
  </si>
  <si>
    <t xml:space="preserve">CITROEN BERLINGO        </t>
  </si>
  <si>
    <t>FORD S-MAX</t>
  </si>
  <si>
    <t>VW KOMBI</t>
  </si>
  <si>
    <t>PORSCHE 718</t>
  </si>
  <si>
    <t>FORD MUSTANG</t>
  </si>
  <si>
    <t>PEUGEOT 108</t>
  </si>
  <si>
    <t>FORD TRANSIT CUSTOM</t>
  </si>
  <si>
    <t>DS 7</t>
  </si>
  <si>
    <t>BMW X7</t>
  </si>
  <si>
    <t xml:space="preserve">HYUNDAI SANTA FE        </t>
  </si>
  <si>
    <t>CITROEN C3 AIRCROSS</t>
  </si>
  <si>
    <t>SKODA KAMIQ</t>
  </si>
  <si>
    <t>AUDI A7</t>
  </si>
  <si>
    <t>BMW X6</t>
  </si>
  <si>
    <t xml:space="preserve">NISSAN MICRA            </t>
  </si>
  <si>
    <t>MERCEDES VITO</t>
  </si>
  <si>
    <t xml:space="preserve">RENAULT MASTER          </t>
  </si>
  <si>
    <t>BMW Z4</t>
  </si>
  <si>
    <t xml:space="preserve">CITROEN JUMPER          </t>
  </si>
  <si>
    <t>BMW 8-SERIE</t>
  </si>
  <si>
    <t>LAND ROVER VELAR</t>
  </si>
  <si>
    <t>FORD TOURNEO CUSTOM</t>
  </si>
  <si>
    <t>PEUGEOT EXPERT</t>
  </si>
  <si>
    <t>MERCEDES GT</t>
  </si>
  <si>
    <t>ÖVRIGA FABRIKAT</t>
  </si>
  <si>
    <t xml:space="preserve">MERCEDES G WAGON        </t>
  </si>
  <si>
    <t xml:space="preserve">MERCEDES CL/S280-600    </t>
  </si>
  <si>
    <t>MERCEDES CLS</t>
  </si>
  <si>
    <t>PEUGEOT BOXER</t>
  </si>
  <si>
    <t>BMW 6-SERIE</t>
  </si>
  <si>
    <t xml:space="preserve">AUDI TT                 </t>
  </si>
  <si>
    <t>MERCEDES SPRINTER</t>
  </si>
  <si>
    <t xml:space="preserve">AUDI S6                 </t>
  </si>
  <si>
    <t xml:space="preserve">TOYOTA LANDCRUISER      </t>
  </si>
  <si>
    <t>KIA STINGER</t>
  </si>
  <si>
    <t>TOYOTA SUPRA</t>
  </si>
  <si>
    <t xml:space="preserve">LAMBORGHINI             </t>
  </si>
  <si>
    <t>BENTLEY CONTINENTAL</t>
  </si>
  <si>
    <t>CITROEN C1</t>
  </si>
  <si>
    <t>VW CRAFTER</t>
  </si>
  <si>
    <t>Nyregistrerade personbilar per drivmedel</t>
  </si>
  <si>
    <t>KIA CEED</t>
  </si>
  <si>
    <t>modben</t>
  </si>
  <si>
    <t>miljoklass</t>
  </si>
  <si>
    <t>KIA NIRO PLUG-IN HYBRID</t>
  </si>
  <si>
    <t>VW PASSAT GTE</t>
  </si>
  <si>
    <t>KIA NIRO EV</t>
  </si>
  <si>
    <t>BMW I3 (BEV)</t>
  </si>
  <si>
    <t>VOLVO XC90II LADDHYBRID</t>
  </si>
  <si>
    <t>MERCEDES E-KLASS (213)LH</t>
  </si>
  <si>
    <t>BMW 330E SEDAN</t>
  </si>
  <si>
    <t>BMW 225XE ACTIVE TOURER</t>
  </si>
  <si>
    <t>PORSCHE PANAMERA 4 E-HYB</t>
  </si>
  <si>
    <t>NISSAN E-NV200</t>
  </si>
  <si>
    <t>VW GOLF GTE</t>
  </si>
  <si>
    <t>LR RANGE ROVER SPORT</t>
  </si>
  <si>
    <t>Vätgas</t>
  </si>
  <si>
    <t>Nyregistreringar personbilar, fördelning fysiska och juridiska personer</t>
  </si>
  <si>
    <t>fabrikat</t>
  </si>
  <si>
    <t>antalFysiska</t>
  </si>
  <si>
    <t>antalFysiskaFG</t>
  </si>
  <si>
    <t>antalJuridiska</t>
  </si>
  <si>
    <t>antalJuridiskaFG</t>
  </si>
  <si>
    <t>shrJur</t>
  </si>
  <si>
    <t>shrJurFG</t>
  </si>
  <si>
    <t>totalPerioden</t>
  </si>
  <si>
    <t>totalPeriodenFG</t>
  </si>
  <si>
    <t>antalFysiskaAret</t>
  </si>
  <si>
    <t>antalFysiskaAretFG</t>
  </si>
  <si>
    <t>antalJuridiskaAret</t>
  </si>
  <si>
    <t>antalJuridiskaAretFG</t>
  </si>
  <si>
    <t>shrAretJur</t>
  </si>
  <si>
    <t>shrJurAretFG</t>
  </si>
  <si>
    <t>totalAret</t>
  </si>
  <si>
    <t>totalAretFG</t>
  </si>
  <si>
    <t>Alfa Romeo</t>
  </si>
  <si>
    <t>Audi</t>
  </si>
  <si>
    <t>Bentley</t>
  </si>
  <si>
    <t>BMW</t>
  </si>
  <si>
    <t>Chevrolet</t>
  </si>
  <si>
    <t>Citroen</t>
  </si>
  <si>
    <t>Dacia</t>
  </si>
  <si>
    <t>Fiat</t>
  </si>
  <si>
    <t>Ford</t>
  </si>
  <si>
    <t>Honda</t>
  </si>
  <si>
    <t>Hyundai</t>
  </si>
  <si>
    <t>Iveco</t>
  </si>
  <si>
    <t>Jaguar</t>
  </si>
  <si>
    <t>Jeep</t>
  </si>
  <si>
    <t>Kia</t>
  </si>
  <si>
    <t>Lamborghini</t>
  </si>
  <si>
    <t>Land Rover</t>
  </si>
  <si>
    <t>Lexus</t>
  </si>
  <si>
    <t>MAN</t>
  </si>
  <si>
    <t>Mazda</t>
  </si>
  <si>
    <t>Mercedes AMG</t>
  </si>
  <si>
    <t>Mini</t>
  </si>
  <si>
    <t>Mitsubishi</t>
  </si>
  <si>
    <t>Morgan</t>
  </si>
  <si>
    <t>Nissan</t>
  </si>
  <si>
    <t>Opel</t>
  </si>
  <si>
    <t>Peugeot</t>
  </si>
  <si>
    <t>Porsche</t>
  </si>
  <si>
    <t>Renault</t>
  </si>
  <si>
    <t>Seat</t>
  </si>
  <si>
    <t>Skoda</t>
  </si>
  <si>
    <t>Subaru</t>
  </si>
  <si>
    <t>Suzuki</t>
  </si>
  <si>
    <t>Tesla</t>
  </si>
  <si>
    <t>Toyota</t>
  </si>
  <si>
    <t>Volkswagen</t>
  </si>
  <si>
    <t>Volvo</t>
  </si>
  <si>
    <t>Övriga</t>
  </si>
  <si>
    <t>DS</t>
  </si>
  <si>
    <t>Nyregistrerade lätta lastbilar % förändring månadsvis</t>
  </si>
  <si>
    <t>antalPeriodenFG</t>
  </si>
  <si>
    <t>antalAret</t>
  </si>
  <si>
    <t>antalAretFG</t>
  </si>
  <si>
    <t>changePerioden</t>
  </si>
  <si>
    <t>shrAret</t>
  </si>
  <si>
    <t>shrAretFG</t>
  </si>
  <si>
    <t>DAF</t>
  </si>
  <si>
    <t>B.3 Eldrivna LLB</t>
  </si>
  <si>
    <t>C.1 Eldrivna bussar</t>
  </si>
  <si>
    <t>Sum of antalPerioden</t>
  </si>
  <si>
    <t>Sum of antalFGPeriod</t>
  </si>
  <si>
    <t>Sum of antalÅret</t>
  </si>
  <si>
    <t>Sum of antalFGAr</t>
  </si>
  <si>
    <t>Sum of shrYear</t>
  </si>
  <si>
    <t>Sum of shrPrevYear</t>
  </si>
  <si>
    <t>BC Sweden</t>
  </si>
  <si>
    <t>BMW Northern Europe</t>
  </si>
  <si>
    <t>Honda Nordic</t>
  </si>
  <si>
    <t>Louwman Sverige</t>
  </si>
  <si>
    <t>Mazda Motor Sverige</t>
  </si>
  <si>
    <t>Nissan Nordic</t>
  </si>
  <si>
    <t>Toyota Sweden</t>
  </si>
  <si>
    <t>Volkswagen Group Sverige</t>
  </si>
  <si>
    <t>Volvo Car Sverige</t>
  </si>
  <si>
    <t>Polestar</t>
  </si>
  <si>
    <t>Sum of chgPeriod</t>
  </si>
  <si>
    <t>Sum of chgAret</t>
  </si>
  <si>
    <t>Sum of antalAret</t>
  </si>
  <si>
    <t>Sum of antalAretFG</t>
  </si>
  <si>
    <t>Sum of antalPeriodenFG</t>
  </si>
  <si>
    <t>Row Labels</t>
  </si>
  <si>
    <t>3,5 -  6,0 ton</t>
  </si>
  <si>
    <t>6,0 - 16,0 ton</t>
  </si>
  <si>
    <t>Nyregistreringar personbilar (per drivmedel)</t>
  </si>
  <si>
    <t>drivmedel</t>
  </si>
  <si>
    <t>Column1</t>
  </si>
  <si>
    <t>Column2</t>
  </si>
  <si>
    <t>Column3</t>
  </si>
  <si>
    <t>Column4</t>
  </si>
  <si>
    <t>Column5</t>
  </si>
  <si>
    <t>121 - 130g</t>
  </si>
  <si>
    <t>131 - 140g</t>
  </si>
  <si>
    <t>Column6</t>
  </si>
  <si>
    <t>perioden</t>
  </si>
  <si>
    <t>perioden fg. År</t>
  </si>
  <si>
    <t>acc innev. År</t>
  </si>
  <si>
    <t>acc fg. År</t>
  </si>
  <si>
    <t>året</t>
  </si>
  <si>
    <t>fg. År</t>
  </si>
  <si>
    <t>månaden</t>
  </si>
  <si>
    <t>månFrånTill</t>
  </si>
  <si>
    <t>MERCEDES C-KLASS (205)</t>
  </si>
  <si>
    <t>B.5 Fabrikatlista TLB</t>
  </si>
  <si>
    <t>Mercedes-Benz Sverige</t>
  </si>
  <si>
    <t>MERCEDES E-KLASS (213)</t>
  </si>
  <si>
    <t>SEAT LEON ST FR</t>
  </si>
  <si>
    <t>Nyregistreringar personbilar fördelat på CO2-utsläpp (enl. WLTP)</t>
  </si>
  <si>
    <t>Total</t>
  </si>
  <si>
    <t>månaden (kort)</t>
  </si>
  <si>
    <t>mån + år (kort)</t>
  </si>
  <si>
    <t>PORSCHE CAYENNE SE HYBRI</t>
  </si>
  <si>
    <t>PORSCHE CAYENNE TURBO</t>
  </si>
  <si>
    <t>MERCEDES GLC (253)</t>
  </si>
  <si>
    <t>Isuzu</t>
  </si>
  <si>
    <t>MERCEDES GLB</t>
  </si>
  <si>
    <t>PORSCHE TAYCAN</t>
  </si>
  <si>
    <t>IVECO DAILY</t>
  </si>
  <si>
    <t>CITROEN C4 PICASSO</t>
  </si>
  <si>
    <t>CHEVROLET ÖVRIGA</t>
  </si>
  <si>
    <t xml:space="preserve">OPEL ZAFIRA             </t>
  </si>
  <si>
    <t>B.2 Fabrikat LLB</t>
  </si>
  <si>
    <t xml:space="preserve">FORD PUMA               </t>
  </si>
  <si>
    <t>MERCEDES Sprinter</t>
  </si>
  <si>
    <t>DS 3</t>
  </si>
  <si>
    <t>KIA CEED SW PLUG-IN HYBR</t>
  </si>
  <si>
    <t>BMW X3 30E XDRIVE</t>
  </si>
  <si>
    <t>AUDI Q5 TFSIE</t>
  </si>
  <si>
    <t>MERCEDES A-KLASS (177)</t>
  </si>
  <si>
    <t>FORD KUGA PLUG-IN</t>
  </si>
  <si>
    <t>DS 7 CROSSBACK</t>
  </si>
  <si>
    <t>Mercedes</t>
  </si>
  <si>
    <t>TOYOTA PROACE CITY</t>
  </si>
  <si>
    <t>KIA XCEED PLUG-IN HYBRID</t>
  </si>
  <si>
    <t>SEAT LEON FR</t>
  </si>
  <si>
    <t>MERCEDES-BENZ GLA</t>
  </si>
  <si>
    <t>Sum of calcChangePerioden</t>
  </si>
  <si>
    <t>Sum of calcChangeAret</t>
  </si>
  <si>
    <t>VOLVO ÖVRIGA</t>
  </si>
  <si>
    <t>HONDA E</t>
  </si>
  <si>
    <t xml:space="preserve">LAND ROVER DEFENDER     </t>
  </si>
  <si>
    <t xml:space="preserve">AUDI S3                 </t>
  </si>
  <si>
    <t>MERCEDES GLE (167)</t>
  </si>
  <si>
    <t>Polestar 2</t>
  </si>
  <si>
    <t xml:space="preserve">FORD EXPLORER           </t>
  </si>
  <si>
    <t>VOLVO XC60N LADDHYBRID</t>
  </si>
  <si>
    <t>VOLVO S/V90N LADDHYBRID</t>
  </si>
  <si>
    <t>VOLVO XC40 LADDHYBRID</t>
  </si>
  <si>
    <t>HYUNDAI KONA EV</t>
  </si>
  <si>
    <t>BMW X5 XDRIVE 45E</t>
  </si>
  <si>
    <t>KIA E-SOUL</t>
  </si>
  <si>
    <t>MERCEDES EQC (293)</t>
  </si>
  <si>
    <t>BMW 530E</t>
  </si>
  <si>
    <t>MINI COOPER SE</t>
  </si>
  <si>
    <t>BMW X1 XDRIVE25E</t>
  </si>
  <si>
    <t>POLESTAR PS1 LADDHYBRID</t>
  </si>
  <si>
    <t>POLESTAR 2 PS2 EL</t>
  </si>
  <si>
    <t>MERCEDES CLA (118)</t>
  </si>
  <si>
    <t>OPEL CORSA</t>
  </si>
  <si>
    <t>Polestar Automotive</t>
  </si>
  <si>
    <t>AUDI S5</t>
  </si>
  <si>
    <t>VOLVO S/V60 LADDHYBRID</t>
  </si>
  <si>
    <t>BMW 330E KOMBI</t>
  </si>
  <si>
    <t>PEUGEOT 2008 EL</t>
  </si>
  <si>
    <t>BMW 330E XDRIVE</t>
  </si>
  <si>
    <t>FORD EXPLORER</t>
  </si>
  <si>
    <t>MINI COUNTRYMAN COOPER S</t>
  </si>
  <si>
    <t>Maxus</t>
  </si>
  <si>
    <t>VW ID.3</t>
  </si>
  <si>
    <t>VW  ID.3</t>
  </si>
  <si>
    <t>MERCEDES B-KLASS (247)</t>
  </si>
  <si>
    <t>JEEP COMPASS PHEV</t>
  </si>
  <si>
    <t>RANGE ROVER EVOQUE</t>
  </si>
  <si>
    <t>SEAT CUPRA FORMENTOR</t>
  </si>
  <si>
    <t>PORSCHE PANAMERA 4S</t>
  </si>
  <si>
    <t>VOLVO XC40 PURE ELECTRIC</t>
  </si>
  <si>
    <t>TOYOTA RAV4 5-D</t>
  </si>
  <si>
    <t>CITROEN JUMPY</t>
  </si>
  <si>
    <t>MAXUS EUNIQ</t>
  </si>
  <si>
    <t>BMW X2 SDRIVE25E</t>
  </si>
  <si>
    <t>BMW 545E XDRIVE</t>
  </si>
  <si>
    <t>VOLVO ÖVRIGA LADDHYBRID</t>
  </si>
  <si>
    <t>MAXUS EUNIQ MPV</t>
  </si>
  <si>
    <t>RENAULT CAPTUR E-TECH</t>
  </si>
  <si>
    <t>SKODA OCTAVIA IV PHEV</t>
  </si>
  <si>
    <t>FIAT 500 EL</t>
  </si>
  <si>
    <t>VW GOLF EHYBRID</t>
  </si>
  <si>
    <t>SUZUKI ACROSS</t>
  </si>
  <si>
    <t>SEAT TARRACO FR</t>
  </si>
  <si>
    <t>ÖVRIGA FABRIKAT EL</t>
  </si>
  <si>
    <t>MERCEDES-BENZ EVITO</t>
  </si>
  <si>
    <t>Jan-21</t>
  </si>
  <si>
    <t>RSA Sverige</t>
  </si>
  <si>
    <t>den inte klarar att driva bilen utan hjälper förbränningsmotorn och på så sätt minskar bränsleförbrukningen.</t>
  </si>
  <si>
    <t>VOLVO ÖVRIGA EL</t>
  </si>
  <si>
    <t>A. Personbilar (PB) totalt</t>
  </si>
  <si>
    <t>A.1 Rankinglista PB modeller</t>
  </si>
  <si>
    <t>B. Lastbilar totalt</t>
  </si>
  <si>
    <t>C. Bussar totalt och fabrikat</t>
  </si>
  <si>
    <t>siffror blir lägre än de Trafikanalys/SCB redovisar.</t>
  </si>
  <si>
    <t>A.4 Drivmedel PB</t>
  </si>
  <si>
    <t>A.5 Laddbara PB</t>
  </si>
  <si>
    <t>A.6 Klimatbonusbilar PB</t>
  </si>
  <si>
    <t>Nyregistreringar personbilar per modell</t>
  </si>
  <si>
    <t>Rangordnade efter ackumulerade registreringar under året.</t>
  </si>
  <si>
    <t>YTD (year to date) visar det ackumulerade antalet under året</t>
  </si>
  <si>
    <t>Fabrikat / modell</t>
  </si>
  <si>
    <t>Totalt</t>
  </si>
  <si>
    <t>Månad</t>
  </si>
  <si>
    <t>Nyregistreringar personbilar efter generalagenter/fabrikat (GA-lista)</t>
  </si>
  <si>
    <t>I bokstavsordning</t>
  </si>
  <si>
    <t>Hedin Motor Company</t>
  </si>
  <si>
    <t>KW Bruun Autoimport</t>
  </si>
  <si>
    <t>Hyundai Bilar Import</t>
  </si>
  <si>
    <t>Topplista över laddbara personbilar</t>
  </si>
  <si>
    <t>A.3 Generalagenter PB</t>
  </si>
  <si>
    <t>Fabrikat</t>
  </si>
  <si>
    <t>Nyregistreringar totalt lastbilar, per viktgrupp</t>
  </si>
  <si>
    <t>Totalvikt</t>
  </si>
  <si>
    <t>Modell</t>
  </si>
  <si>
    <t>Mercedes Benz</t>
  </si>
  <si>
    <t>Scania</t>
  </si>
  <si>
    <t>Nyregistreringsstatistik</t>
  </si>
  <si>
    <t>Drivmedel</t>
  </si>
  <si>
    <t>Kässbohrer-Setra</t>
  </si>
  <si>
    <t>bilar som tillverkats under de tre senaste åren. Direktimporterade bilar eller andra äldre bilar som</t>
  </si>
  <si>
    <t>registreras för första gången i Sverige ingår inte. Trafikanalys/SCB har med samtliga bilar (inkl</t>
  </si>
  <si>
    <t>Nyregistrerade personbilar per månad</t>
  </si>
  <si>
    <t>Elbilar och laddhybrider</t>
  </si>
  <si>
    <t>Andel nyregistrerade laddbara personbilar per månad</t>
  </si>
  <si>
    <t xml:space="preserve">AUDI A8                 </t>
  </si>
  <si>
    <t>VW ID.4</t>
  </si>
  <si>
    <t xml:space="preserve">MITSUBISHI SPACE STAR   </t>
  </si>
  <si>
    <t>CITROEN C4</t>
  </si>
  <si>
    <t>MAZDA MX-30</t>
  </si>
  <si>
    <t>MAZDA6</t>
  </si>
  <si>
    <t>MCLAREN</t>
  </si>
  <si>
    <t>Polestar 1</t>
  </si>
  <si>
    <t>OPEL COMBO</t>
  </si>
  <si>
    <t>TOYOTA MIRAI</t>
  </si>
  <si>
    <t>AUDI A6 TFSI E</t>
  </si>
  <si>
    <t>KIA SORENTO PHEV</t>
  </si>
  <si>
    <t>AUDI Q7 TFSI E</t>
  </si>
  <si>
    <t>AUDI Q8 TFSI E</t>
  </si>
  <si>
    <t>AUDI A3 TFSI E</t>
  </si>
  <si>
    <t>AUDI A7 TFSI E</t>
  </si>
  <si>
    <t>BMW IX3</t>
  </si>
  <si>
    <t>LR DISCOVERY SPORT</t>
  </si>
  <si>
    <t>MERCEDES- V-KLASS</t>
  </si>
  <si>
    <t>AUDI Q3 TFSI E</t>
  </si>
  <si>
    <t>LR RANGE ROVER VELAR</t>
  </si>
  <si>
    <t>DS 3 EL</t>
  </si>
  <si>
    <t>McLaren</t>
  </si>
  <si>
    <t>MAXUS EV80</t>
  </si>
  <si>
    <t>Feb-21</t>
  </si>
  <si>
    <t>Totalt antal</t>
  </si>
  <si>
    <t>Setra</t>
  </si>
  <si>
    <t>Byd</t>
  </si>
  <si>
    <t>Sum of Dec</t>
  </si>
  <si>
    <t>Sum of Nov</t>
  </si>
  <si>
    <t>Sum of Okt</t>
  </si>
  <si>
    <t>Sum of Sep</t>
  </si>
  <si>
    <t>Sum of Aug</t>
  </si>
  <si>
    <t>Sum of Jul</t>
  </si>
  <si>
    <t>Sum of Jun</t>
  </si>
  <si>
    <t>Sum of Maj</t>
  </si>
  <si>
    <t>Sum of Apr</t>
  </si>
  <si>
    <t>Sum of Mar</t>
  </si>
  <si>
    <t>Sum of Feb</t>
  </si>
  <si>
    <t>Sum of Jan</t>
  </si>
  <si>
    <t>Sum of I År</t>
  </si>
  <si>
    <t>Jul</t>
  </si>
  <si>
    <t>Jun</t>
  </si>
  <si>
    <t>Apr</t>
  </si>
  <si>
    <t>Mar</t>
  </si>
  <si>
    <t>År</t>
  </si>
  <si>
    <t>Alla bussar oavsett ålder</t>
  </si>
  <si>
    <t>Nyregistreringar privatimporterade bussar</t>
  </si>
  <si>
    <t>C.2 Privatimporterade bussar</t>
  </si>
  <si>
    <t>A.2 Fabrikat och modeller PB</t>
  </si>
  <si>
    <t>B.1 Lätta lastbilar högst 3,5 ton (LLB)</t>
  </si>
  <si>
    <t>B.4 Tunga lastbilar över 16 ton (TLB)</t>
  </si>
  <si>
    <t>söka efter nyregistreringar på såväl länsnivå, bilmodeller, bränsletyper som nybilsköpare.</t>
  </si>
  <si>
    <t>Om statistiken</t>
  </si>
  <si>
    <t>A.7 Koldioxidutsläpp PB</t>
  </si>
  <si>
    <t>A.8 Fysiska / Juridiska personer PB</t>
  </si>
  <si>
    <t>Totalt år</t>
  </si>
  <si>
    <t>YTD</t>
  </si>
  <si>
    <t>Antal registreringar</t>
  </si>
  <si>
    <t>Förändring %</t>
  </si>
  <si>
    <t>Marknadsandel %</t>
  </si>
  <si>
    <t>Andel, %</t>
  </si>
  <si>
    <t>Typ</t>
  </si>
  <si>
    <t>Fysiska</t>
  </si>
  <si>
    <t>Juridiska</t>
  </si>
  <si>
    <t>Andel juridiska %</t>
  </si>
  <si>
    <t>Grupp</t>
  </si>
  <si>
    <t>Alla bilar</t>
  </si>
  <si>
    <t>Max 3 år gamla</t>
  </si>
  <si>
    <t>Nyregistrerade privatimporterade personbilar</t>
  </si>
  <si>
    <t>Direktimporterade bilar oavsett ålder, ingår inte i BIL Swedens nyregistreringsstatistik.</t>
  </si>
  <si>
    <t>AUDI R8</t>
  </si>
  <si>
    <t>Alpine A110</t>
  </si>
  <si>
    <t>RENAULT MEGANE E-TECH</t>
  </si>
  <si>
    <t>AUDI A8 TFSIE</t>
  </si>
  <si>
    <t>Alpine</t>
  </si>
  <si>
    <t>Maserati</t>
  </si>
  <si>
    <t>KIA Motors Sweden</t>
  </si>
  <si>
    <t>LEXUS UX EV</t>
  </si>
  <si>
    <t>AUDI E-TRON GT</t>
  </si>
  <si>
    <t>SUZUKI SWACE</t>
  </si>
  <si>
    <t>MERCEDES EQA (243)</t>
  </si>
  <si>
    <t>LEXUS UX300E</t>
  </si>
  <si>
    <t>CITROEN E-C4</t>
  </si>
  <si>
    <t>Mar-21</t>
  </si>
  <si>
    <t>Generalagent / Fabrikat</t>
  </si>
  <si>
    <t>I bokstavsordning.</t>
  </si>
  <si>
    <t>Nyregistreringar bussar   (samtliga)</t>
  </si>
  <si>
    <t>Nyregistreringar bussar   (över 10 ton)</t>
  </si>
  <si>
    <t>Nyregistreringar eldrivna bussar per fabrikat</t>
  </si>
  <si>
    <t>SKODA ENYAQ</t>
  </si>
  <si>
    <t>OPEL MOKKA</t>
  </si>
  <si>
    <t>LYNK &amp; CO 01</t>
  </si>
  <si>
    <t xml:space="preserve">MORGAN                  </t>
  </si>
  <si>
    <t>OPEL MOKKA EL</t>
  </si>
  <si>
    <t>LYNK &amp; CO. 01</t>
  </si>
  <si>
    <t>PEUGEOT EXPERT EL</t>
  </si>
  <si>
    <t>Lynk &amp; Co</t>
  </si>
  <si>
    <t>TM Sweden</t>
  </si>
  <si>
    <t>Apr-21</t>
  </si>
  <si>
    <t>Personbilar, totalt</t>
  </si>
  <si>
    <t>Bussar, totalt</t>
  </si>
  <si>
    <t>Personbilar</t>
  </si>
  <si>
    <t>Lastbilar</t>
  </si>
  <si>
    <t>Bussar</t>
  </si>
  <si>
    <t>Sammanfattning av nyregistreringar under månaden</t>
  </si>
  <si>
    <t>MG EHS</t>
  </si>
  <si>
    <t>MG ZS EV</t>
  </si>
  <si>
    <t>MG EHS PLUG-IN-HYBRID</t>
  </si>
  <si>
    <t>61 - 70g</t>
  </si>
  <si>
    <t>71 - 90g</t>
  </si>
  <si>
    <t>91 - 120g</t>
  </si>
  <si>
    <t>MG</t>
  </si>
  <si>
    <t>Maj-21</t>
  </si>
  <si>
    <t>FORD MUSTANG MACH-E</t>
  </si>
  <si>
    <t>AUDI Q4 E-TRON</t>
  </si>
  <si>
    <t>MASERATI</t>
  </si>
  <si>
    <t>HYUNDAI SANTA FE</t>
  </si>
  <si>
    <t>JEEP WRANGLER</t>
  </si>
  <si>
    <t>LANDROVER DEFENDER</t>
  </si>
  <si>
    <t>Jun-21</t>
  </si>
  <si>
    <t>HYUNDAI IONIQ 5</t>
  </si>
  <si>
    <t>RENAULT ARKANA</t>
  </si>
  <si>
    <t>TESLA MODEL Y</t>
  </si>
  <si>
    <t>Hedin MG Sweden</t>
  </si>
  <si>
    <t>Jul-21</t>
  </si>
  <si>
    <t>HYUNDAI BAYON</t>
  </si>
  <si>
    <t>Aug-21</t>
  </si>
  <si>
    <t>MERCEDES EQC</t>
  </si>
  <si>
    <t>MERCEDES EQA</t>
  </si>
  <si>
    <t>MERCEDES EQS</t>
  </si>
  <si>
    <t>BMW IX</t>
  </si>
  <si>
    <t>MERCEDES S-KLASS (223)</t>
  </si>
  <si>
    <t>OPEL ZAFIRA EL</t>
  </si>
  <si>
    <t>BMW IX XDRIVE40</t>
  </si>
  <si>
    <t>Sep-21</t>
  </si>
  <si>
    <t>Antal nyregistrerade elbilar (PB) per månad</t>
  </si>
  <si>
    <t>Elbilar</t>
  </si>
  <si>
    <t>Laddhybrider</t>
  </si>
  <si>
    <t>Antal nyregistrerade laddhybrider (PB) per månad</t>
  </si>
  <si>
    <t>A.51 Elbilar PB</t>
  </si>
  <si>
    <t>A.52 Laddhybrider PB</t>
  </si>
  <si>
    <t>PEUGEOT EXPERT ELECTRIC</t>
  </si>
  <si>
    <t>TOYOTA, PROACE ELECTR 75</t>
  </si>
  <si>
    <t>VOLKSWAGEN ABT E-CADDY</t>
  </si>
  <si>
    <t>MERCEDES-BENZ ESPRINTER</t>
  </si>
  <si>
    <t>OPEL VIVARO</t>
  </si>
  <si>
    <t>VW E-CRAFTER 35 SKÅP</t>
  </si>
  <si>
    <t>RENAULT MASTER Z.E.</t>
  </si>
  <si>
    <t>MERCEDES GLS</t>
  </si>
  <si>
    <t>TOYOTA YARIS CROSS</t>
  </si>
  <si>
    <t>KIA EV6</t>
  </si>
  <si>
    <t>MITSUBISHI ECLIPSE CROSS</t>
  </si>
  <si>
    <t>KW Bruun MMC</t>
  </si>
  <si>
    <t>Okt-21</t>
  </si>
  <si>
    <t>VOLVO C40</t>
  </si>
  <si>
    <t>MG MARVEL R</t>
  </si>
  <si>
    <t>SEAT CUPRA BORN</t>
  </si>
  <si>
    <t>LEXUS RX</t>
  </si>
  <si>
    <t>VOLVO C40 PURE ELECTRIC</t>
  </si>
  <si>
    <t>MG MARVEL R ELECTRIC</t>
  </si>
  <si>
    <t>CUPRA BORN</t>
  </si>
  <si>
    <t>BMW IX XDRIVE50</t>
  </si>
  <si>
    <t>Nov-21</t>
  </si>
  <si>
    <t>VW TAIGO</t>
  </si>
  <si>
    <t>BMW I4</t>
  </si>
  <si>
    <t>MERCEDES C-KLASS (206)</t>
  </si>
  <si>
    <t>TOYOTA PROACE VERSO LONG</t>
  </si>
  <si>
    <t>BMW I4 M50</t>
  </si>
  <si>
    <t>PEUGEOT 308 BEN/EL</t>
  </si>
  <si>
    <t>CITROEN BERLINGO EL</t>
  </si>
  <si>
    <t>PEUGEOT E-PARTNER</t>
  </si>
  <si>
    <t>Dec-21</t>
  </si>
  <si>
    <t>MERCEDES EQB</t>
  </si>
  <si>
    <t>LEXUS NX</t>
  </si>
  <si>
    <t>LEXUS NX450</t>
  </si>
  <si>
    <t>MAXUS EUNIQ 6</t>
  </si>
  <si>
    <t>MAXUS E-DELIVER 3 SWB 52</t>
  </si>
  <si>
    <t>OPEL COMBO-E CARGO</t>
  </si>
  <si>
    <t xml:space="preserve"> 2022</t>
  </si>
  <si>
    <t>YTD  2022</t>
  </si>
  <si>
    <t>Jan-22</t>
  </si>
  <si>
    <t>MERCEDES EQB (243)</t>
  </si>
  <si>
    <t>MERCEDES EQS (297)</t>
  </si>
  <si>
    <t>Topplista över Elbilar</t>
  </si>
  <si>
    <t>Topplista över laddhybrider</t>
  </si>
  <si>
    <t xml:space="preserve">FERRARI                 </t>
  </si>
  <si>
    <t>DACIA JOGGER</t>
  </si>
  <si>
    <t>FORD TOURNEO CONNECT</t>
  </si>
  <si>
    <t>FERRARI PORTOFINO</t>
  </si>
  <si>
    <t>CADILLAC SRX</t>
  </si>
  <si>
    <t>BENTLEY BENTAYGA</t>
  </si>
  <si>
    <t>TOYOTA VERSO</t>
  </si>
  <si>
    <t>SEAT CUPRA LEON</t>
  </si>
  <si>
    <t>Cadillac</t>
  </si>
  <si>
    <t>Ferrari</t>
  </si>
  <si>
    <t>Feb-22</t>
  </si>
  <si>
    <t>BYD</t>
  </si>
  <si>
    <t>När ni använder information och statistik från Mobility Sweden, vänligen ange källa.</t>
  </si>
  <si>
    <t>Mobility Sweden har i sin nyregistreringsstatistik för personbilar endast förstagångsregistreringar av</t>
  </si>
  <si>
    <t>direktimport) oavsett ålder, i sina nyregistreringssiffror. Det är förklaringen till att MobilitySwedens</t>
  </si>
  <si>
    <t>Källa: Mobility Sweden</t>
  </si>
  <si>
    <r>
      <t xml:space="preserve">Besök vår hemsida: </t>
    </r>
    <r>
      <rPr>
        <sz val="10"/>
        <color rgb="FF0070C1"/>
        <rFont val="Arial"/>
        <family val="2"/>
      </rPr>
      <t xml:space="preserve">www.mobilitysweden.se </t>
    </r>
    <r>
      <rPr>
        <sz val="10"/>
        <color theme="1"/>
        <rFont val="Arial"/>
        <family val="2"/>
      </rPr>
      <t>där det finns mer statistik. I Mobility Swedens databas kan du</t>
    </r>
  </si>
  <si>
    <r>
      <rPr>
        <b/>
        <sz val="10"/>
        <color theme="1"/>
        <rFont val="Arial"/>
        <family val="2"/>
      </rPr>
      <t>OBS! Redovisningen av drivmedel</t>
    </r>
    <r>
      <rPr>
        <sz val="10"/>
        <color theme="1"/>
        <rFont val="Arial"/>
        <family val="2"/>
      </rPr>
      <t xml:space="preserve"> är justerad för att ge en bättre bild av fördelningen, och vissa siffor kan därför visa små differenser mot tidigare rapporter.</t>
    </r>
  </si>
  <si>
    <r>
      <rPr>
        <b/>
        <sz val="10"/>
        <rFont val="Arial"/>
        <family val="2"/>
      </rPr>
      <t>Anm. Mildhybrider</t>
    </r>
    <r>
      <rPr>
        <sz val="10"/>
        <rFont val="Arial"/>
        <family val="2"/>
      </rPr>
      <t xml:space="preserve"> redovisas under bensin och diesel. Cirka 20 % av bensinbilarna och ca 45 % av dieselbilarna är mildhybrider. </t>
    </r>
  </si>
  <si>
    <r>
      <rPr>
        <b/>
        <sz val="10"/>
        <color theme="1"/>
        <rFont val="Arial"/>
        <family val="2"/>
      </rPr>
      <t>Laddhybrider</t>
    </r>
    <r>
      <rPr>
        <sz val="10"/>
        <color theme="1"/>
        <rFont val="Arial"/>
        <family val="2"/>
      </rPr>
      <t xml:space="preserve"> drivs av en förbrännings- och en elmotor. Elmotorns batteri laddas under körning. Motorerna samverkar eller driver bilen var för sig.</t>
    </r>
  </si>
  <si>
    <r>
      <rPr>
        <b/>
        <sz val="10"/>
        <color theme="1"/>
        <rFont val="Arial"/>
        <family val="2"/>
      </rPr>
      <t>Elhybrider</t>
    </r>
    <r>
      <rPr>
        <sz val="10"/>
        <color theme="1"/>
        <rFont val="Arial"/>
        <family val="2"/>
      </rPr>
      <t xml:space="preserve"> är inte externt laddbara till skillnad från laddhybrider utan laddas under körning genom att återvinna rörelseenergi.</t>
    </r>
  </si>
  <si>
    <r>
      <rPr>
        <b/>
        <sz val="10"/>
        <color theme="1"/>
        <rFont val="Arial"/>
        <family val="2"/>
      </rPr>
      <t>Mildhybrider</t>
    </r>
    <r>
      <rPr>
        <sz val="10"/>
        <color theme="1"/>
        <rFont val="Arial"/>
        <family val="2"/>
      </rPr>
      <t xml:space="preserve"> drivs med en förbränningsmotor och kan inte köras enbart på el. Den tillkommande elmotorn är så pass liten i en mildhybrid att</t>
    </r>
  </si>
  <si>
    <t xml:space="preserve">CHEVROLET CORVETTE      </t>
  </si>
  <si>
    <t>FERRARI 812</t>
  </si>
  <si>
    <t>KIA SPORTAGE</t>
  </si>
  <si>
    <t>BMW I4 EDRIVE40</t>
  </si>
  <si>
    <t>RENAULT MEGANE ELECTRIC</t>
  </si>
  <si>
    <t>FERRARI</t>
  </si>
  <si>
    <t>Mar-22</t>
  </si>
  <si>
    <t>MG MG5 ELECTRIC</t>
  </si>
  <si>
    <t>MERCEDES EQE</t>
  </si>
  <si>
    <t>VW ID.5</t>
  </si>
  <si>
    <t>MERCEDES CITAN</t>
  </si>
  <si>
    <t>DS 4</t>
  </si>
  <si>
    <t>MERCEDES EQE (295)</t>
  </si>
  <si>
    <t>DS DS4</t>
  </si>
  <si>
    <t>RN Nordic</t>
  </si>
  <si>
    <t>Apr-22</t>
  </si>
  <si>
    <t>TOYOTA AYGO X</t>
  </si>
  <si>
    <t>CITROEN C5 X</t>
  </si>
  <si>
    <t>NISSAN TOWNSTAR</t>
  </si>
  <si>
    <t>TOYOTA PROACE VERSO CITY</t>
  </si>
  <si>
    <t>GMC</t>
  </si>
  <si>
    <t>Maj-22</t>
  </si>
  <si>
    <t>SUBARU SOLTERRA</t>
  </si>
  <si>
    <t>Neoplan</t>
  </si>
  <si>
    <t>Jun-22</t>
  </si>
  <si>
    <t>Reg.takt per dag</t>
  </si>
  <si>
    <t xml:space="preserve">Reg.dagar </t>
  </si>
  <si>
    <t>Reg.takt månad</t>
  </si>
  <si>
    <t>Perioden</t>
  </si>
  <si>
    <t>Ackumulerat</t>
  </si>
  <si>
    <t>Sorterade ack. från årets början</t>
  </si>
  <si>
    <t>från årets början</t>
  </si>
  <si>
    <t>Pos</t>
  </si>
  <si>
    <t>Antal</t>
  </si>
  <si>
    <t>Förändr.</t>
  </si>
  <si>
    <t>(fg.år)</t>
  </si>
  <si>
    <t>%</t>
  </si>
  <si>
    <t>1(1)</t>
  </si>
  <si>
    <t>XC40</t>
  </si>
  <si>
    <t>XC60</t>
  </si>
  <si>
    <t>S/V60</t>
  </si>
  <si>
    <t>S/V90</t>
  </si>
  <si>
    <t>XC90N</t>
  </si>
  <si>
    <t>C40</t>
  </si>
  <si>
    <t>ÖVRIGA</t>
  </si>
  <si>
    <t>Niro</t>
  </si>
  <si>
    <t>Ceed</t>
  </si>
  <si>
    <t>Sportage</t>
  </si>
  <si>
    <t>EV6</t>
  </si>
  <si>
    <t>Sorento</t>
  </si>
  <si>
    <t>Picanto</t>
  </si>
  <si>
    <t>Stonic</t>
  </si>
  <si>
    <t>RIO</t>
  </si>
  <si>
    <t>Soul</t>
  </si>
  <si>
    <t>Stinger</t>
  </si>
  <si>
    <t>VW</t>
  </si>
  <si>
    <t>Id.4</t>
  </si>
  <si>
    <t>Passat</t>
  </si>
  <si>
    <t>T-roc</t>
  </si>
  <si>
    <t>Tiguan</t>
  </si>
  <si>
    <t>Golf</t>
  </si>
  <si>
    <t>T-cross</t>
  </si>
  <si>
    <t>Taigo</t>
  </si>
  <si>
    <t>Id.3</t>
  </si>
  <si>
    <t>Arteon</t>
  </si>
  <si>
    <t>Multivan</t>
  </si>
  <si>
    <t>Id.5</t>
  </si>
  <si>
    <t>Touareg</t>
  </si>
  <si>
    <t>Caddy</t>
  </si>
  <si>
    <t>Sharan</t>
  </si>
  <si>
    <t>Caravelle</t>
  </si>
  <si>
    <t>Touran</t>
  </si>
  <si>
    <t>Kombi</t>
  </si>
  <si>
    <t>Crafter</t>
  </si>
  <si>
    <t>Rav 4</t>
  </si>
  <si>
    <t>Corolla</t>
  </si>
  <si>
    <t>Yaris</t>
  </si>
  <si>
    <t>C-hr</t>
  </si>
  <si>
    <t>Yaris cross</t>
  </si>
  <si>
    <t>Aygo x</t>
  </si>
  <si>
    <t>Proace verso</t>
  </si>
  <si>
    <t>Camry</t>
  </si>
  <si>
    <t>Landcruiser</t>
  </si>
  <si>
    <t>Aygo</t>
  </si>
  <si>
    <t>Proace city</t>
  </si>
  <si>
    <t>Supra</t>
  </si>
  <si>
    <t>Verso</t>
  </si>
  <si>
    <t>Mirai</t>
  </si>
  <si>
    <t>3-serie</t>
  </si>
  <si>
    <t>5-serie</t>
  </si>
  <si>
    <t>I3</t>
  </si>
  <si>
    <t>X3</t>
  </si>
  <si>
    <t>X1</t>
  </si>
  <si>
    <t>I4</t>
  </si>
  <si>
    <t>IX</t>
  </si>
  <si>
    <t>1-serie</t>
  </si>
  <si>
    <t>X5</t>
  </si>
  <si>
    <t>2-serie</t>
  </si>
  <si>
    <t>4-serie</t>
  </si>
  <si>
    <t>X7</t>
  </si>
  <si>
    <t>X6</t>
  </si>
  <si>
    <t>X4</t>
  </si>
  <si>
    <t>8-serie</t>
  </si>
  <si>
    <t>X2</t>
  </si>
  <si>
    <t>Z4</t>
  </si>
  <si>
    <t>6-serie</t>
  </si>
  <si>
    <t>GLC</t>
  </si>
  <si>
    <t>C-klass</t>
  </si>
  <si>
    <t>GLE</t>
  </si>
  <si>
    <t>E-klass</t>
  </si>
  <si>
    <t>A-klass</t>
  </si>
  <si>
    <t>CLA</t>
  </si>
  <si>
    <t>EQE</t>
  </si>
  <si>
    <t>EQB</t>
  </si>
  <si>
    <t>GLA</t>
  </si>
  <si>
    <t>V-klass</t>
  </si>
  <si>
    <t>GLB</t>
  </si>
  <si>
    <t>EQA</t>
  </si>
  <si>
    <t>108-314</t>
  </si>
  <si>
    <t>B-klass</t>
  </si>
  <si>
    <t>EQS</t>
  </si>
  <si>
    <t>GLS</t>
  </si>
  <si>
    <t>G wagon</t>
  </si>
  <si>
    <t>EQC</t>
  </si>
  <si>
    <t>Vito</t>
  </si>
  <si>
    <t>GT</t>
  </si>
  <si>
    <t>Cl/s280-600</t>
  </si>
  <si>
    <t>CLS</t>
  </si>
  <si>
    <t>Sprinter</t>
  </si>
  <si>
    <t>Citan</t>
  </si>
  <si>
    <t>E-tron</t>
  </si>
  <si>
    <t>Q4 e-tron</t>
  </si>
  <si>
    <t>A3</t>
  </si>
  <si>
    <t>A4</t>
  </si>
  <si>
    <t>A6</t>
  </si>
  <si>
    <t>Q3</t>
  </si>
  <si>
    <t>Q2</t>
  </si>
  <si>
    <t>A5</t>
  </si>
  <si>
    <t>Q5</t>
  </si>
  <si>
    <t>A1</t>
  </si>
  <si>
    <t>Q8</t>
  </si>
  <si>
    <t>E-tron gt</t>
  </si>
  <si>
    <t>S6</t>
  </si>
  <si>
    <t>Q7</t>
  </si>
  <si>
    <t>A7</t>
  </si>
  <si>
    <t>TT</t>
  </si>
  <si>
    <t>A8</t>
  </si>
  <si>
    <t>R8</t>
  </si>
  <si>
    <t>S3</t>
  </si>
  <si>
    <t>S5</t>
  </si>
  <si>
    <t>Enyaq</t>
  </si>
  <si>
    <t>Octavia</t>
  </si>
  <si>
    <t>Kodiaq</t>
  </si>
  <si>
    <t>Superb</t>
  </si>
  <si>
    <t>Kamiq</t>
  </si>
  <si>
    <t>Karoq</t>
  </si>
  <si>
    <t>Scala</t>
  </si>
  <si>
    <t>Fabia</t>
  </si>
  <si>
    <t>Model y</t>
  </si>
  <si>
    <t>Model 3</t>
  </si>
  <si>
    <t>Model x</t>
  </si>
  <si>
    <t>Kuga</t>
  </si>
  <si>
    <t>Focus</t>
  </si>
  <si>
    <t>Mustang mach-e</t>
  </si>
  <si>
    <t>Mondeo</t>
  </si>
  <si>
    <t>Transit</t>
  </si>
  <si>
    <t>Puma</t>
  </si>
  <si>
    <t>Tourneo custom</t>
  </si>
  <si>
    <t>Explorer</t>
  </si>
  <si>
    <t>Fiesta</t>
  </si>
  <si>
    <t>S-max</t>
  </si>
  <si>
    <t>Mustang</t>
  </si>
  <si>
    <t>Transit custom</t>
  </si>
  <si>
    <t>Tourneo connect</t>
  </si>
  <si>
    <t>Rifter</t>
  </si>
  <si>
    <t>Expert</t>
  </si>
  <si>
    <t>Boxer</t>
  </si>
  <si>
    <t>EHS</t>
  </si>
  <si>
    <t>ZS EV</t>
  </si>
  <si>
    <t>Marvel r</t>
  </si>
  <si>
    <t>Mg5 electric</t>
  </si>
  <si>
    <t>Captur</t>
  </si>
  <si>
    <t>Clio</t>
  </si>
  <si>
    <t>Arkana</t>
  </si>
  <si>
    <t>ZOE</t>
  </si>
  <si>
    <t>Megane</t>
  </si>
  <si>
    <t>Master</t>
  </si>
  <si>
    <t>Kadjar</t>
  </si>
  <si>
    <t>Trafic</t>
  </si>
  <si>
    <t>Tucson</t>
  </si>
  <si>
    <t>Kona</t>
  </si>
  <si>
    <t>I20</t>
  </si>
  <si>
    <t>Ioniq 5</t>
  </si>
  <si>
    <t>I10</t>
  </si>
  <si>
    <t>I30</t>
  </si>
  <si>
    <t>Bayon</t>
  </si>
  <si>
    <t>Santa fe</t>
  </si>
  <si>
    <t>Leaf</t>
  </si>
  <si>
    <t>Qashqai</t>
  </si>
  <si>
    <t>Juke</t>
  </si>
  <si>
    <t>Micra</t>
  </si>
  <si>
    <t>X-trail</t>
  </si>
  <si>
    <t>Townstar</t>
  </si>
  <si>
    <t>Cupra formentor</t>
  </si>
  <si>
    <t>Cupra born</t>
  </si>
  <si>
    <t>Leon</t>
  </si>
  <si>
    <t>Arona</t>
  </si>
  <si>
    <t>Ibiza</t>
  </si>
  <si>
    <t>Ateca</t>
  </si>
  <si>
    <t>Tarraco</t>
  </si>
  <si>
    <t>C4</t>
  </si>
  <si>
    <t>C3</t>
  </si>
  <si>
    <t>C5 aircross</t>
  </si>
  <si>
    <t>C3 aircross</t>
  </si>
  <si>
    <t>Jumper</t>
  </si>
  <si>
    <t>C5 x</t>
  </si>
  <si>
    <t>C4 picasso</t>
  </si>
  <si>
    <t>C1</t>
  </si>
  <si>
    <t>Berlingo</t>
  </si>
  <si>
    <t>Mokka</t>
  </si>
  <si>
    <t>Corsa</t>
  </si>
  <si>
    <t>Grandland x</t>
  </si>
  <si>
    <t>Crossland x</t>
  </si>
  <si>
    <t>Astra</t>
  </si>
  <si>
    <t>Insignia</t>
  </si>
  <si>
    <t>Zafira</t>
  </si>
  <si>
    <t>Combo</t>
  </si>
  <si>
    <t>Ducato</t>
  </si>
  <si>
    <t>500x</t>
  </si>
  <si>
    <t>Tipo</t>
  </si>
  <si>
    <t>Duster</t>
  </si>
  <si>
    <t>Sandero</t>
  </si>
  <si>
    <t>Jogger</t>
  </si>
  <si>
    <t>Taycan</t>
  </si>
  <si>
    <t>Cayenne</t>
  </si>
  <si>
    <t>Macan</t>
  </si>
  <si>
    <t>Panamera</t>
  </si>
  <si>
    <t>Hatch</t>
  </si>
  <si>
    <t>Countryman</t>
  </si>
  <si>
    <t>Clubman</t>
  </si>
  <si>
    <t>Lynk</t>
  </si>
  <si>
    <t>&amp; co 01</t>
  </si>
  <si>
    <t>Outback</t>
  </si>
  <si>
    <t>Forester</t>
  </si>
  <si>
    <t>XV</t>
  </si>
  <si>
    <t>Solterra</t>
  </si>
  <si>
    <t>Vitara</t>
  </si>
  <si>
    <t>S-cross</t>
  </si>
  <si>
    <t>Swace</t>
  </si>
  <si>
    <t>Swift</t>
  </si>
  <si>
    <t>Across</t>
  </si>
  <si>
    <t>Cx-30</t>
  </si>
  <si>
    <t>Mx-30</t>
  </si>
  <si>
    <t>Mazda3</t>
  </si>
  <si>
    <t>Mazda2</t>
  </si>
  <si>
    <t>Cx-5</t>
  </si>
  <si>
    <t>MX5</t>
  </si>
  <si>
    <t>Mazda6</t>
  </si>
  <si>
    <t>Cx-3</t>
  </si>
  <si>
    <t>Hr-v</t>
  </si>
  <si>
    <t>Jazz</t>
  </si>
  <si>
    <t>Cr-v</t>
  </si>
  <si>
    <t>E</t>
  </si>
  <si>
    <t>Civic</t>
  </si>
  <si>
    <t>NX</t>
  </si>
  <si>
    <t>Ux ev</t>
  </si>
  <si>
    <t>RX</t>
  </si>
  <si>
    <t>Eclipse</t>
  </si>
  <si>
    <t>Space star</t>
  </si>
  <si>
    <t>Defender</t>
  </si>
  <si>
    <t>Evoque</t>
  </si>
  <si>
    <t>Discvry</t>
  </si>
  <si>
    <t>Velar</t>
  </si>
  <si>
    <t>Compass</t>
  </si>
  <si>
    <t>Wrangler</t>
  </si>
  <si>
    <t>F-pace</t>
  </si>
  <si>
    <t>E-pace</t>
  </si>
  <si>
    <t>Euniq</t>
  </si>
  <si>
    <t>LR / Land Rover</t>
  </si>
  <si>
    <t>/ range rover</t>
  </si>
  <si>
    <t>Portofino</t>
  </si>
  <si>
    <t>Corvette</t>
  </si>
  <si>
    <t>Stelvio</t>
  </si>
  <si>
    <t>Daily</t>
  </si>
  <si>
    <t>Continental</t>
  </si>
  <si>
    <t>Bentayga</t>
  </si>
  <si>
    <t>Mclaren</t>
  </si>
  <si>
    <t>A110</t>
  </si>
  <si>
    <t>SRX</t>
  </si>
  <si>
    <t>Totalmarknad</t>
  </si>
  <si>
    <t xml:space="preserve">Förändring  +/-  </t>
  </si>
  <si>
    <t>Tryck på plustecknet till vänster om varje fabrikat för att expandera och se utvecklingen för varje fabrikats olika modeller.</t>
  </si>
  <si>
    <t>Tabellen rankar de olika fabrikaten efter de ackumulerade registreringarna från årets början.</t>
  </si>
  <si>
    <t>Högst 50g</t>
  </si>
  <si>
    <t>51 - 60g</t>
  </si>
  <si>
    <t>MAZDA CX-60</t>
  </si>
  <si>
    <t xml:space="preserve">MERCEDES 300-600 SL     </t>
  </si>
  <si>
    <t>BMW IX M60</t>
  </si>
  <si>
    <t>MAXUS E-DELIVER 9 CHASSI</t>
  </si>
  <si>
    <t>Jul-22</t>
  </si>
  <si>
    <t>300-600 sl</t>
  </si>
  <si>
    <t>Cx-60</t>
  </si>
  <si>
    <t>OPEL ASTRA</t>
  </si>
  <si>
    <t>BMW 230E XDRIVE ACTIVE</t>
  </si>
  <si>
    <t/>
  </si>
  <si>
    <t>FIAT SCUDO</t>
  </si>
  <si>
    <t>Aug-22</t>
  </si>
  <si>
    <t>Elbussar, antal</t>
  </si>
  <si>
    <t>Elbilar, antal</t>
  </si>
  <si>
    <t>Laddhybrider, antal</t>
  </si>
  <si>
    <t>Lätta eldrivna lastbilar, antal</t>
  </si>
  <si>
    <t>Elbilar, andel nyreg.</t>
  </si>
  <si>
    <t>Laddhybrider, andel nyreg.</t>
  </si>
  <si>
    <t>Laddbara bilar, andel nyreg.</t>
  </si>
  <si>
    <t>Lätta eldrivna lastbilar, andel nyreg.</t>
  </si>
  <si>
    <t>Elbussar, andel nyreg.</t>
  </si>
  <si>
    <t>Lastbilar, totalt</t>
  </si>
  <si>
    <t>förändring %</t>
  </si>
  <si>
    <t>NISSAN ARIYA</t>
  </si>
  <si>
    <t>MG MG4 ELECTRIC</t>
  </si>
  <si>
    <t>Sep-22</t>
  </si>
  <si>
    <t>Mg4 electric</t>
  </si>
  <si>
    <t>Ariya</t>
  </si>
  <si>
    <t>TOYOTA GR86</t>
  </si>
  <si>
    <t>TOYOTA COROLLA CROSS</t>
  </si>
  <si>
    <t>VW ID. BUZZ</t>
  </si>
  <si>
    <t>BYD TANG</t>
  </si>
  <si>
    <t>RENAULT KANGOO VAN E-TEC</t>
  </si>
  <si>
    <t>ID. BUZZ CARGO</t>
  </si>
  <si>
    <t>Astara</t>
  </si>
  <si>
    <t>Okt-22</t>
  </si>
  <si>
    <t>Id.buzz</t>
  </si>
  <si>
    <t>Gr86</t>
  </si>
  <si>
    <t>Corolla cross</t>
  </si>
  <si>
    <t>Tang</t>
  </si>
  <si>
    <t>BYD ATTO 3</t>
  </si>
  <si>
    <t>LEXUS UX</t>
  </si>
  <si>
    <t>BMW I7</t>
  </si>
  <si>
    <t>BMW IX1</t>
  </si>
  <si>
    <t>BMW I7 XDRIVE 60</t>
  </si>
  <si>
    <t>MERCEDES GLC (254)</t>
  </si>
  <si>
    <t>IM Nordic</t>
  </si>
  <si>
    <t>Nov-22</t>
  </si>
  <si>
    <t>I7</t>
  </si>
  <si>
    <t>UX</t>
  </si>
  <si>
    <t>Atto 3</t>
  </si>
  <si>
    <t>TESLA MODEL S</t>
  </si>
  <si>
    <t>ORA FUNKY CAT</t>
  </si>
  <si>
    <t xml:space="preserve">RENAULT KANGOO          </t>
  </si>
  <si>
    <t>PEUGEOT 408</t>
  </si>
  <si>
    <t>ORA 300 PRO</t>
  </si>
  <si>
    <t>ORA 400 PRO+</t>
  </si>
  <si>
    <t>BMW X1 XDRIVE30E</t>
  </si>
  <si>
    <t>MERCEDES EQS (296)</t>
  </si>
  <si>
    <t>ORA</t>
  </si>
  <si>
    <t>FIAT E-DOBLO</t>
  </si>
  <si>
    <t>Hedin Electric Mobility</t>
  </si>
  <si>
    <t>Dec-22</t>
  </si>
  <si>
    <t>Model s</t>
  </si>
  <si>
    <t>Kangoo</t>
  </si>
  <si>
    <t>Ora</t>
  </si>
  <si>
    <t>Funky cat</t>
  </si>
  <si>
    <t>Hedin Mobility Group avser följande företag/fabrikat:</t>
  </si>
  <si>
    <t>FORD</t>
  </si>
  <si>
    <t>Dacia, Renault, Alpine</t>
  </si>
  <si>
    <t>Hedin Premium Car</t>
  </si>
  <si>
    <t>Hongqi</t>
  </si>
  <si>
    <t>Hedin Adventure Car</t>
  </si>
  <si>
    <t>INEOS Grenadier</t>
  </si>
  <si>
    <t>Hedin Mobility Group</t>
  </si>
  <si>
    <t>CUPRA FORMENTOR</t>
  </si>
  <si>
    <t>BYD HAN</t>
  </si>
  <si>
    <t>CUPRA LEON</t>
  </si>
  <si>
    <t>CUPRA ATECA</t>
  </si>
  <si>
    <t>NIO ET7</t>
  </si>
  <si>
    <t>CUPRA LEON SP VZ</t>
  </si>
  <si>
    <t>MCLAREN HYBRID</t>
  </si>
  <si>
    <t>EUROD</t>
  </si>
  <si>
    <t>CUPRA</t>
  </si>
  <si>
    <t>Nio</t>
  </si>
  <si>
    <t>MAXUS ET90 DOUBLE CAB</t>
  </si>
  <si>
    <t>General Motors Mobility</t>
  </si>
  <si>
    <t>Nio Nextev Sweden</t>
  </si>
  <si>
    <t xml:space="preserve"> 2023</t>
  </si>
  <si>
    <t>YTD  2023</t>
  </si>
  <si>
    <t>Jan-23</t>
  </si>
  <si>
    <t>Cupra</t>
  </si>
  <si>
    <t>Born</t>
  </si>
  <si>
    <t>Formentor</t>
  </si>
  <si>
    <t>HAN</t>
  </si>
  <si>
    <t>ET7</t>
  </si>
  <si>
    <t>NIO EL7</t>
  </si>
  <si>
    <t>ALFA ROMEO GIULIA</t>
  </si>
  <si>
    <t>ALFA ROMEO TONALE</t>
  </si>
  <si>
    <t>HONGQI E-HS9</t>
  </si>
  <si>
    <t>NISSAN PRIMASTAR</t>
  </si>
  <si>
    <t>JAGUAR I-PACE</t>
  </si>
  <si>
    <t>JAGUAR F</t>
  </si>
  <si>
    <t>WEY COFFEE</t>
  </si>
  <si>
    <t>CITROEN SPACETOURER</t>
  </si>
  <si>
    <t>JEEP GLADIATOR</t>
  </si>
  <si>
    <t>JAGUAR XE</t>
  </si>
  <si>
    <t>RENAULT KOLEOS</t>
  </si>
  <si>
    <t>JEEP RENEGADE</t>
  </si>
  <si>
    <t>BMW 7-SERIE</t>
  </si>
  <si>
    <t xml:space="preserve">FORD GALAXY             </t>
  </si>
  <si>
    <t>LEXUS RX 450H</t>
  </si>
  <si>
    <t>PEUGEOT E-RIFTER</t>
  </si>
  <si>
    <t>SKODA ENYAQ COUPÉ</t>
  </si>
  <si>
    <t>CUPRA FORMENTOR VZ</t>
  </si>
  <si>
    <t>PORSCHE PANAMERA S E-HYB</t>
  </si>
  <si>
    <t>WEY COFFEE01</t>
  </si>
  <si>
    <t>SEAT CUPRA LEON SP</t>
  </si>
  <si>
    <t>BENTLEY BENTAYGA LHY</t>
  </si>
  <si>
    <t>OPEL COMBO E-LIFE</t>
  </si>
  <si>
    <t>JEEP RENEGADE PHEV</t>
  </si>
  <si>
    <t>BMW 745E IPERFORMANCE</t>
  </si>
  <si>
    <t>PORSCHE PANAMERA T S-HYB</t>
  </si>
  <si>
    <t>Dodge</t>
  </si>
  <si>
    <t>LEVC</t>
  </si>
  <si>
    <t>FIAT DUCATO</t>
  </si>
  <si>
    <t>Mellor</t>
  </si>
  <si>
    <t>Feb-23</t>
  </si>
  <si>
    <t>7-serie</t>
  </si>
  <si>
    <t>8(6)</t>
  </si>
  <si>
    <t>Koleos</t>
  </si>
  <si>
    <t>Galaxy</t>
  </si>
  <si>
    <t>Primastar</t>
  </si>
  <si>
    <t>Spacetourer</t>
  </si>
  <si>
    <t>Giulia</t>
  </si>
  <si>
    <t>Tonale</t>
  </si>
  <si>
    <t>EL7</t>
  </si>
  <si>
    <t>I-pace</t>
  </si>
  <si>
    <t>F</t>
  </si>
  <si>
    <t>XE</t>
  </si>
  <si>
    <t>E-hs9</t>
  </si>
  <si>
    <t>Gladiator</t>
  </si>
  <si>
    <t>Renegade</t>
  </si>
  <si>
    <t>Wey</t>
  </si>
  <si>
    <t>Coffee</t>
  </si>
  <si>
    <t>Klintberg &amp; Way</t>
  </si>
  <si>
    <t>Dodge &amp; RAM</t>
  </si>
  <si>
    <t>TOYOTA BZ4X</t>
  </si>
  <si>
    <t>NIO ET5</t>
  </si>
  <si>
    <t>LEVC TX</t>
  </si>
  <si>
    <t>MITSUBISHI ASX</t>
  </si>
  <si>
    <t>CITROEN C4 SPACETOURER</t>
  </si>
  <si>
    <t>FORD ECOSPORT</t>
  </si>
  <si>
    <t xml:space="preserve">VOLVO 900,S/V90         </t>
  </si>
  <si>
    <t>IONIQ 6</t>
  </si>
  <si>
    <t>LEVC TX VISTA COMF PLUS</t>
  </si>
  <si>
    <t>BMW 745LE XDRIVE IPERFOR</t>
  </si>
  <si>
    <t>RAM</t>
  </si>
  <si>
    <t>FORD F-150 LIGHTNING</t>
  </si>
  <si>
    <t>ABT E-TRANSPORTER  6.1</t>
  </si>
  <si>
    <t>Mar-23</t>
  </si>
  <si>
    <t>900,S/V90</t>
  </si>
  <si>
    <t>Bz4x</t>
  </si>
  <si>
    <t>Ecosport</t>
  </si>
  <si>
    <t>C4 spacetourer</t>
  </si>
  <si>
    <t>ASX</t>
  </si>
  <si>
    <t>ET5</t>
  </si>
  <si>
    <t>Levc</t>
  </si>
  <si>
    <t>Tx icon</t>
  </si>
  <si>
    <t>BMW XM</t>
  </si>
  <si>
    <t>MAXUS MIFA 9</t>
  </si>
  <si>
    <t xml:space="preserve">SMART                   </t>
  </si>
  <si>
    <t>XPENG P5</t>
  </si>
  <si>
    <t>XPENG P7</t>
  </si>
  <si>
    <t>JAGUAR XF</t>
  </si>
  <si>
    <t xml:space="preserve">CHEVROLET CAMARO        </t>
  </si>
  <si>
    <t>LEXUS RZ450E</t>
  </si>
  <si>
    <t>CUPRA LEON VZ</t>
  </si>
  <si>
    <t>SMART ED</t>
  </si>
  <si>
    <t>BMW M760LI XDRIVE</t>
  </si>
  <si>
    <t>LEVC TX ICON</t>
  </si>
  <si>
    <t>Smart</t>
  </si>
  <si>
    <t>Xpeng</t>
  </si>
  <si>
    <t>XPENG MOTORS</t>
  </si>
  <si>
    <t>Apr-23</t>
  </si>
  <si>
    <t>6(7)</t>
  </si>
  <si>
    <t>7(5)</t>
  </si>
  <si>
    <t>XM</t>
  </si>
  <si>
    <t>RZ</t>
  </si>
  <si>
    <t>Mifa 9</t>
  </si>
  <si>
    <t>XF</t>
  </si>
  <si>
    <t>Camaro</t>
  </si>
  <si>
    <t>P5</t>
  </si>
  <si>
    <t>P7</t>
  </si>
  <si>
    <t>LEXUS ES</t>
  </si>
  <si>
    <t>RENAULT AUSTRAL</t>
  </si>
  <si>
    <t>LEXUS RZ</t>
  </si>
  <si>
    <t>LEXUS LC</t>
  </si>
  <si>
    <t>LEXUS RC</t>
  </si>
  <si>
    <t xml:space="preserve">LAND ROVER DISCOVERY    </t>
  </si>
  <si>
    <t xml:space="preserve">AUDI S8                 </t>
  </si>
  <si>
    <t>LEXUS LS</t>
  </si>
  <si>
    <t>CADILLAC ESCALADE</t>
  </si>
  <si>
    <t>JEEP GRAND CHEROKEE</t>
  </si>
  <si>
    <t xml:space="preserve">FIAT PANDA              </t>
  </si>
  <si>
    <t xml:space="preserve">OPEL MOVANO             </t>
  </si>
  <si>
    <t>Ospec.</t>
  </si>
  <si>
    <t>MERCEDES EQE (294)</t>
  </si>
  <si>
    <t>BMW 750E XDRIVE</t>
  </si>
  <si>
    <t>BYD ETP3</t>
  </si>
  <si>
    <t>Maj-23</t>
  </si>
  <si>
    <t>S8</t>
  </si>
  <si>
    <t>Austral</t>
  </si>
  <si>
    <t>Movano</t>
  </si>
  <si>
    <t>Panda</t>
  </si>
  <si>
    <t>ES</t>
  </si>
  <si>
    <t>LC</t>
  </si>
  <si>
    <t>RC</t>
  </si>
  <si>
    <t>LS</t>
  </si>
  <si>
    <t>33(31)</t>
  </si>
  <si>
    <t>Discovery</t>
  </si>
  <si>
    <t>Grand cherokee</t>
  </si>
  <si>
    <t>Escalade</t>
  </si>
  <si>
    <t>Högst (&lt;=)  3,5 ton</t>
  </si>
  <si>
    <t>Över (&gt;=)  16,0 ton</t>
  </si>
  <si>
    <t>Nyregistreringar lätta lastbilar (&lt;= 3,5 ton) per fabrikat</t>
  </si>
  <si>
    <t>Nyregistreringar eldrivna lätta lastbilar,  högst (&lt;=) 3,5 ton</t>
  </si>
  <si>
    <t>Nyregistrerade tunga lastbilar &gt;= 16 ton per månad</t>
  </si>
  <si>
    <t>Nyregistrerade tunga lastbilar över (&gt;=) 16 ton % förändring månadsvis</t>
  </si>
  <si>
    <t>Nyregistreringar tunga lastbilar över (&gt;=) 16 ton, per fabrikat</t>
  </si>
  <si>
    <t>Tunga lastbilar ( &gt;= 16 ton), antal</t>
  </si>
  <si>
    <t>Lätta lastbilar ( &lt;= 3,5 ton), antal</t>
  </si>
  <si>
    <t>Ineos</t>
  </si>
  <si>
    <t>INEOS GRENADIER</t>
  </si>
  <si>
    <t>HONDA ZR-V</t>
  </si>
  <si>
    <t>BMW X5 XDRIVE50E</t>
  </si>
  <si>
    <t>OPEL ASTRA SPORTS TOURER</t>
  </si>
  <si>
    <t>GEELY</t>
  </si>
  <si>
    <t>MERCEDES GT (290)</t>
  </si>
  <si>
    <t>Jun-23</t>
  </si>
  <si>
    <t>10(11)</t>
  </si>
  <si>
    <t>Zr-v</t>
  </si>
  <si>
    <t>Grenadier</t>
  </si>
  <si>
    <t>BENTLEY FLYING SPUR</t>
  </si>
  <si>
    <t>CR-V RS8</t>
  </si>
  <si>
    <t>RENAULT KANGOO E-TECH EL</t>
  </si>
  <si>
    <t>MERCEDES-BENZ CITAN</t>
  </si>
  <si>
    <t>Jul-23</t>
  </si>
  <si>
    <t>5(10)</t>
  </si>
  <si>
    <t>39(34)</t>
  </si>
  <si>
    <t>Flying spur</t>
  </si>
  <si>
    <t>55(50)</t>
  </si>
  <si>
    <t>HYUNDAI IONIQ 6</t>
  </si>
  <si>
    <t>JEEP AVENGER</t>
  </si>
  <si>
    <t>HONDA E:NY1</t>
  </si>
  <si>
    <t xml:space="preserve">RENAULT ESPACE          </t>
  </si>
  <si>
    <t>HYUNDAI GRAND SANTA FE</t>
  </si>
  <si>
    <t>FORD GT</t>
  </si>
  <si>
    <t>NISSAN GT-R</t>
  </si>
  <si>
    <t>E:NY1 RS1</t>
  </si>
  <si>
    <t>SsangYong</t>
  </si>
  <si>
    <t>Aug-23</t>
  </si>
  <si>
    <t>2(2)</t>
  </si>
  <si>
    <t>9(8)</t>
  </si>
  <si>
    <t>11(12)</t>
  </si>
  <si>
    <t>12(9)</t>
  </si>
  <si>
    <t>Ioniq 6</t>
  </si>
  <si>
    <t>Grand santa fe</t>
  </si>
  <si>
    <t>Espace</t>
  </si>
  <si>
    <t>15(13)</t>
  </si>
  <si>
    <t>Gt-r</t>
  </si>
  <si>
    <t>16(17)</t>
  </si>
  <si>
    <t>17(18)</t>
  </si>
  <si>
    <t>22(20)</t>
  </si>
  <si>
    <t>26(29)</t>
  </si>
  <si>
    <t>27(19)</t>
  </si>
  <si>
    <t>28(22)</t>
  </si>
  <si>
    <t>29(25)</t>
  </si>
  <si>
    <t>E:ny1</t>
  </si>
  <si>
    <t>38(33)</t>
  </si>
  <si>
    <t>Avenger</t>
  </si>
  <si>
    <t>48(42)</t>
  </si>
  <si>
    <t>52(43)</t>
  </si>
  <si>
    <t>XPENG G9</t>
  </si>
  <si>
    <t>MERCEDES EQT</t>
  </si>
  <si>
    <t>MAN CHASSI HUSBIL</t>
  </si>
  <si>
    <t>BMW I5</t>
  </si>
  <si>
    <t>JAC E-JS4</t>
  </si>
  <si>
    <t>FORD BRONCO</t>
  </si>
  <si>
    <t>MERCEDES-BENZ EQT</t>
  </si>
  <si>
    <t>SMART 1</t>
  </si>
  <si>
    <t>BMW I5 M60 XDRIVE</t>
  </si>
  <si>
    <t>MERCEDES E-KLASS (214)</t>
  </si>
  <si>
    <t>JAC</t>
  </si>
  <si>
    <t>September  2023</t>
  </si>
  <si>
    <t>September</t>
  </si>
  <si>
    <t>Januari - september</t>
  </si>
  <si>
    <t xml:space="preserve"> 2023-09</t>
  </si>
  <si>
    <t xml:space="preserve"> 2022-09</t>
  </si>
  <si>
    <t>Jan - sep 2023</t>
  </si>
  <si>
    <t>Jan - sep 2022</t>
  </si>
  <si>
    <t>Sep-23</t>
  </si>
  <si>
    <t>Personbilar nyregistreringar september 2023</t>
  </si>
  <si>
    <t>2023-09-01 -&gt; 2023-09-30</t>
  </si>
  <si>
    <t>3(3)</t>
  </si>
  <si>
    <t>4(4)</t>
  </si>
  <si>
    <t>I5</t>
  </si>
  <si>
    <t>EQT</t>
  </si>
  <si>
    <t>Bronco</t>
  </si>
  <si>
    <t>13(14)</t>
  </si>
  <si>
    <t>14(16)</t>
  </si>
  <si>
    <t>18(52)</t>
  </si>
  <si>
    <t>19(24)</t>
  </si>
  <si>
    <t>20(51)</t>
  </si>
  <si>
    <t>21(23)</t>
  </si>
  <si>
    <t>23(21)</t>
  </si>
  <si>
    <t>24(26)</t>
  </si>
  <si>
    <t>25(15)</t>
  </si>
  <si>
    <t>30(27)</t>
  </si>
  <si>
    <t>31(28)</t>
  </si>
  <si>
    <t>32(30)</t>
  </si>
  <si>
    <t>34(58)</t>
  </si>
  <si>
    <t>35(36)</t>
  </si>
  <si>
    <t>36(32)</t>
  </si>
  <si>
    <t>37(57)</t>
  </si>
  <si>
    <t>40(47)</t>
  </si>
  <si>
    <t>G9</t>
  </si>
  <si>
    <t>41(40)</t>
  </si>
  <si>
    <t>42(37)</t>
  </si>
  <si>
    <t>43(53)</t>
  </si>
  <si>
    <t>44(38)</t>
  </si>
  <si>
    <t>45(39)</t>
  </si>
  <si>
    <t>46(35)</t>
  </si>
  <si>
    <t>47(41)</t>
  </si>
  <si>
    <t>49(54)</t>
  </si>
  <si>
    <t>50(44)</t>
  </si>
  <si>
    <t>51(45)</t>
  </si>
  <si>
    <t>53(46)</t>
  </si>
  <si>
    <t>54(59)</t>
  </si>
  <si>
    <t>56(55)</t>
  </si>
  <si>
    <t>Jac</t>
  </si>
  <si>
    <t>E-js4</t>
  </si>
  <si>
    <t>57(56)</t>
  </si>
  <si>
    <t>Man</t>
  </si>
  <si>
    <t>Chassi husbil</t>
  </si>
  <si>
    <t>58(48)</t>
  </si>
  <si>
    <t>59(49)</t>
  </si>
  <si>
    <t>Tre laddhybrider hade felkodats som elbilar = rättat.</t>
  </si>
  <si>
    <t>Utgått</t>
  </si>
  <si>
    <t>OBS Denna lista är sammanlänkad med A.5 Laddbara PB, vilket medför att placeringarna i kolumn A och marknadsandelarna är beräknade på laddbara bilar totalt.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</si>
</sst>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0\%"/>
  </numFmts>
  <fonts count="53">
    <font>
      <sz val="11"/>
      <color theme="1"/>
      <name val="Calibri"/>
      <family val="2"/>
      <scheme val="minor"/>
    </font>
    <font>
      <b/>
      <sz val="15"/>
      <color theme="3"/>
      <name val="Calibri"/>
      <family val="2"/>
      <scheme val="minor"/>
    </font>
    <font>
      <b/>
      <sz val="13"/>
      <color theme="3"/>
      <name val="Calibri"/>
      <family val="2"/>
      <scheme val="minor"/>
    </font>
    <font>
      <u/>
      <sz val="11"/>
      <color theme="10"/>
      <name val="Calibri"/>
      <family val="2"/>
      <scheme val="minor"/>
    </font>
    <font>
      <sz val="11"/>
      <color theme="10"/>
      <name val="Calibri"/>
      <family val="2"/>
      <scheme val="minor"/>
    </font>
    <font>
      <sz val="9"/>
      <color theme="1"/>
      <name val="Calibri"/>
      <family val="2"/>
    </font>
    <font>
      <b/>
      <sz val="11"/>
      <color theme="1"/>
      <name val="Calibri"/>
      <family val="2"/>
      <scheme val="minor"/>
    </font>
    <font>
      <sz val="10"/>
      <name val="Arial"/>
      <family val="2"/>
    </font>
    <font>
      <b/>
      <sz val="10"/>
      <name val="Arial"/>
      <family val="2"/>
    </font>
    <font>
      <b/>
      <sz val="11"/>
      <color theme="0"/>
      <name val="Calibri"/>
      <family val="2"/>
      <scheme val="minor"/>
    </font>
    <font>
      <sz val="12"/>
      <color theme="1"/>
      <name val="Calibri"/>
      <family val="2"/>
      <scheme val="minor"/>
    </font>
    <font>
      <b/>
      <sz val="12"/>
      <color theme="1"/>
      <name val="Calibri"/>
      <family val="2"/>
      <scheme val="minor"/>
    </font>
    <font>
      <sz val="11"/>
      <color theme="1"/>
      <name val="Calibri"/>
      <family val="2"/>
    </font>
    <font>
      <sz val="10"/>
      <name val="Calibri"/>
      <family val="2"/>
      <scheme val="minor"/>
    </font>
    <font>
      <b/>
      <sz val="10"/>
      <color theme="1"/>
      <name val="Arial"/>
      <family val="2"/>
    </font>
    <font>
      <sz val="10"/>
      <color theme="1"/>
      <name val="Arial"/>
      <family val="2"/>
    </font>
    <font>
      <b/>
      <sz val="11"/>
      <color theme="1"/>
      <name val="Arial"/>
      <family val="2"/>
    </font>
    <font>
      <sz val="11"/>
      <color theme="1"/>
      <name val="Arial"/>
      <family val="2"/>
    </font>
    <font>
      <sz val="11"/>
      <color theme="1"/>
      <name val="Calibri"/>
      <family val="2"/>
      <scheme val="minor"/>
    </font>
    <font>
      <sz val="10"/>
      <name val="NeueHaasDisplay-Thin"/>
    </font>
    <font>
      <sz val="11"/>
      <color theme="10"/>
      <name val="Arial"/>
      <family val="2"/>
    </font>
    <font>
      <sz val="14"/>
      <color theme="1"/>
      <name val="Arial"/>
      <family val="2"/>
    </font>
    <font>
      <u/>
      <sz val="14"/>
      <color theme="10"/>
      <name val="Arial"/>
      <family val="2"/>
    </font>
    <font>
      <u/>
      <sz val="11"/>
      <color theme="10"/>
      <name val="Arial"/>
      <family val="2"/>
    </font>
    <font>
      <sz val="14"/>
      <color theme="10"/>
      <name val="Arial"/>
      <family val="2"/>
    </font>
    <font>
      <sz val="11"/>
      <color rgb="FFFF0000"/>
      <name val="Arial"/>
      <family val="2"/>
    </font>
    <font>
      <u/>
      <sz val="10"/>
      <color theme="10"/>
      <name val="Arial"/>
      <family val="2"/>
    </font>
    <font>
      <sz val="10"/>
      <color rgb="FF0070C1"/>
      <name val="Arial"/>
      <family val="2"/>
    </font>
    <font>
      <sz val="11"/>
      <color rgb="FF001489"/>
      <name val="Arial"/>
      <family val="2"/>
    </font>
    <font>
      <sz val="15"/>
      <color rgb="FF001489"/>
      <name val="Arial"/>
      <family val="2"/>
    </font>
    <font>
      <b/>
      <sz val="15"/>
      <color theme="3"/>
      <name val="Arial"/>
      <family val="2"/>
    </font>
    <font>
      <b/>
      <sz val="11"/>
      <color theme="0"/>
      <name val="Arial"/>
      <family val="2"/>
    </font>
    <font>
      <sz val="11"/>
      <name val="Arial"/>
      <family val="2"/>
    </font>
    <font>
      <b/>
      <sz val="10"/>
      <color theme="0"/>
      <name val="Arial"/>
      <family val="2"/>
    </font>
    <font>
      <sz val="9"/>
      <name val="Arial"/>
      <family val="2"/>
    </font>
    <font>
      <b/>
      <sz val="9"/>
      <color theme="1"/>
      <name val="Arial"/>
      <family val="2"/>
    </font>
    <font>
      <sz val="12"/>
      <color rgb="FF001489"/>
      <name val="Arial"/>
      <family val="2"/>
    </font>
    <font>
      <sz val="10"/>
      <color theme="3"/>
      <name val="Arial"/>
      <family val="2"/>
    </font>
    <font>
      <sz val="10"/>
      <color theme="1"/>
      <name val="Arial"/>
      <family val="2"/>
    </font>
    <font>
      <b/>
      <sz val="10"/>
      <color theme="1"/>
      <name val="Arial"/>
      <family val="2"/>
    </font>
    <font>
      <sz val="11"/>
      <color theme="1"/>
      <name val="Arial"/>
      <family val="2"/>
    </font>
    <font>
      <sz val="10"/>
      <name val="Arial"/>
      <family val="2"/>
    </font>
    <font>
      <b/>
      <sz val="11"/>
      <color theme="1"/>
      <name val="Arial"/>
      <family val="2"/>
    </font>
    <font>
      <sz val="9"/>
      <color indexed="8"/>
      <name val="Arial"/>
      <family val="2"/>
    </font>
    <font>
      <sz val="9"/>
      <color rgb="FFFF0000"/>
      <name val="Arial"/>
      <family val="2"/>
    </font>
    <font>
      <b/>
      <sz val="11"/>
      <color indexed="8"/>
      <name val="Arial"/>
      <family val="2"/>
    </font>
    <font>
      <sz val="10"/>
      <color indexed="8"/>
      <name val="Arial"/>
      <family val="2"/>
    </font>
    <font>
      <sz val="11"/>
      <color indexed="8"/>
      <name val="Arial"/>
      <family val="2"/>
    </font>
    <font>
      <b/>
      <sz val="11"/>
      <color indexed="17"/>
      <name val="Arial"/>
      <family val="2"/>
    </font>
    <font>
      <i/>
      <sz val="11"/>
      <color theme="1"/>
      <name val="Arial"/>
      <family val="2"/>
    </font>
    <font>
      <i/>
      <sz val="11"/>
      <color theme="1"/>
      <name val="Calibri"/>
      <family val="2"/>
      <scheme val="minor"/>
    </font>
    <font>
      <sz val="11"/>
      <color rgb="FFFF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59996337778862885"/>
        <bgColor indexed="64"/>
      </patternFill>
    </fill>
    <fill>
      <patternFill patternType="solid">
        <fgColor theme="0"/>
        <bgColor indexed="64"/>
      </patternFill>
    </fill>
    <fill>
      <patternFill patternType="solid">
        <fgColor rgb="FF307FE2"/>
        <bgColor theme="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style="thin">
        <color theme="4" tint="0.39997558519241921"/>
      </top>
      <bottom style="thin">
        <color theme="4" tint="0.39997558519241921"/>
      </bottom>
      <diagonal/>
    </border>
    <border>
      <left/>
      <right style="thin">
        <color theme="4" tint="0.39994506668294322"/>
      </right>
      <top style="thin">
        <color theme="4" tint="0.39997558519241921"/>
      </top>
      <bottom style="thin">
        <color theme="4" tint="0.39997558519241921"/>
      </bottom>
      <diagonal/>
    </border>
    <border>
      <left style="thin">
        <color theme="4" tint="0.39994506668294322"/>
      </left>
      <right/>
      <top style="thin">
        <color theme="4" tint="0.39997558519241921"/>
      </top>
      <bottom style="thin">
        <color theme="4" tint="0.39997558519241921"/>
      </bottom>
      <diagonal/>
    </border>
    <border>
      <left/>
      <right/>
      <top/>
      <bottom style="thin">
        <color theme="4" tint="0.39997558519241921"/>
      </bottom>
      <diagonal/>
    </border>
    <border>
      <left style="thin">
        <color theme="4" tint="0.39994506668294322"/>
      </left>
      <right/>
      <top style="thin">
        <color theme="4" tint="0.39997558519241921"/>
      </top>
      <bottom style="thin">
        <color theme="4" tint="0.39991454817346722"/>
      </bottom>
      <diagonal/>
    </border>
    <border>
      <left/>
      <right style="thin">
        <color theme="4" tint="0.39994506668294322"/>
      </right>
      <top style="thin">
        <color theme="4" tint="0.39997558519241921"/>
      </top>
      <bottom style="thin">
        <color theme="4" tint="0.39991454817346722"/>
      </bottom>
      <diagonal/>
    </border>
    <border>
      <left style="thin">
        <color theme="4" tint="0.39994506668294322"/>
      </left>
      <right/>
      <top/>
      <bottom style="thin">
        <color theme="4" tint="0.39997558519241921"/>
      </bottom>
      <diagonal/>
    </border>
    <border>
      <left/>
      <right/>
      <top style="thin">
        <color theme="4" tint="0.39997558519241921"/>
      </top>
      <bottom/>
      <diagonal/>
    </border>
    <border>
      <left style="thin">
        <color theme="4" tint="0.39994506668294322"/>
      </left>
      <right/>
      <top style="thin">
        <color theme="4" tint="0.39997558519241921"/>
      </top>
      <bottom/>
      <diagonal/>
    </border>
    <border>
      <left/>
      <right style="thin">
        <color theme="4" tint="0.39994506668294322"/>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right/>
      <top style="thin">
        <color rgb="FF999999"/>
      </top>
      <bottom/>
      <diagonal/>
    </border>
    <border>
      <left/>
      <right/>
      <top style="thin">
        <color indexed="65"/>
      </top>
      <bottom/>
      <diagonal/>
    </border>
    <border>
      <left style="thin">
        <color rgb="FF999999"/>
      </left>
      <right/>
      <top style="thin">
        <color theme="4" tint="0.39997558519241921"/>
      </top>
      <bottom style="thin">
        <color theme="4" tint="0.3999755851924192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auto="1"/>
      </bottom>
      <diagonal/>
    </border>
    <border>
      <left/>
      <right/>
      <top style="thin">
        <color indexed="64"/>
      </top>
      <bottom/>
      <diagonal/>
    </border>
    <border>
      <left style="thin">
        <color indexed="65"/>
      </left>
      <right/>
      <top style="thin">
        <color indexed="64"/>
      </top>
      <bottom/>
      <diagonal/>
    </border>
    <border>
      <left style="thin">
        <color theme="4" tint="0.39997558519241921"/>
      </left>
      <right/>
      <top style="thin">
        <color theme="4" tint="0.39997558519241921"/>
      </top>
      <bottom/>
      <diagonal/>
    </border>
    <border>
      <left/>
      <right/>
      <top/>
      <bottom style="medium">
        <color rgb="FF001489"/>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s>
  <cellStyleXfs count="8">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0" applyNumberFormat="0" applyFill="0" applyBorder="0" applyAlignment="0" applyProtection="0"/>
    <xf numFmtId="0" fontId="7" fillId="0" borderId="0"/>
    <xf numFmtId="0" fontId="18" fillId="0" borderId="0"/>
    <xf numFmtId="43" fontId="18" fillId="0" borderId="0" applyFont="0" applyFill="0" applyBorder="0" applyAlignment="0" applyProtection="0"/>
    <xf numFmtId="43" fontId="18" fillId="0" borderId="0" applyFont="0" applyFill="0" applyBorder="0" applyAlignment="0" applyProtection="0"/>
  </cellStyleXfs>
  <cellXfs count="276">
    <xf numFmtId="0" fontId="0" fillId="0" borderId="0" xfId="0"/>
    <xf numFmtId="0" fontId="4" fillId="0" borderId="0" xfId="3" applyFont="1" applyBorder="1"/>
    <xf numFmtId="0" fontId="2" fillId="0" borderId="2" xfId="2"/>
    <xf numFmtId="0" fontId="5" fillId="0" borderId="0" xfId="0" applyFont="1" applyAlignment="1">
      <alignment horizontal="left" vertical="center"/>
    </xf>
    <xf numFmtId="3" fontId="0" fillId="0" borderId="0" xfId="0" applyNumberFormat="1"/>
    <xf numFmtId="0" fontId="6" fillId="0" borderId="0" xfId="0" applyFont="1"/>
    <xf numFmtId="0" fontId="8" fillId="0" borderId="0" xfId="4" applyFont="1"/>
    <xf numFmtId="0" fontId="7" fillId="0" borderId="0" xfId="0" applyFont="1"/>
    <xf numFmtId="164" fontId="0" fillId="0" borderId="0" xfId="0" applyNumberFormat="1"/>
    <xf numFmtId="0" fontId="1" fillId="0" borderId="0" xfId="1" applyBorder="1"/>
    <xf numFmtId="0" fontId="10" fillId="0" borderId="0" xfId="0" applyFont="1"/>
    <xf numFmtId="2" fontId="0" fillId="0" borderId="0" xfId="0" applyNumberFormat="1"/>
    <xf numFmtId="165" fontId="0" fillId="0" borderId="0" xfId="0" applyNumberFormat="1"/>
    <xf numFmtId="3" fontId="6" fillId="0" borderId="0" xfId="0" applyNumberFormat="1" applyFont="1"/>
    <xf numFmtId="10" fontId="11" fillId="0" borderId="0" xfId="0" applyNumberFormat="1" applyFont="1"/>
    <xf numFmtId="0" fontId="0" fillId="0" borderId="0" xfId="0" quotePrefix="1"/>
    <xf numFmtId="0" fontId="7" fillId="0" borderId="0" xfId="4"/>
    <xf numFmtId="0" fontId="12" fillId="0" borderId="0" xfId="0" applyFont="1"/>
    <xf numFmtId="0" fontId="13" fillId="0" borderId="0" xfId="0" applyFont="1"/>
    <xf numFmtId="0" fontId="8" fillId="0" borderId="27" xfId="4" applyFont="1" applyBorder="1"/>
    <xf numFmtId="0" fontId="14" fillId="0" borderId="0" xfId="0" applyFont="1"/>
    <xf numFmtId="0" fontId="14" fillId="0" borderId="0" xfId="0" applyFont="1" applyAlignment="1">
      <alignment horizontal="left"/>
    </xf>
    <xf numFmtId="3" fontId="15" fillId="0" borderId="0" xfId="0" applyNumberFormat="1" applyFont="1"/>
    <xf numFmtId="164" fontId="14" fillId="0" borderId="0" xfId="0" applyNumberFormat="1" applyFont="1"/>
    <xf numFmtId="0" fontId="16" fillId="0" borderId="27" xfId="0" applyFont="1" applyBorder="1"/>
    <xf numFmtId="0" fontId="17" fillId="0" borderId="0" xfId="0" applyFont="1"/>
    <xf numFmtId="0" fontId="7" fillId="0" borderId="26" xfId="4" applyBorder="1"/>
    <xf numFmtId="0" fontId="17" fillId="0" borderId="26" xfId="0" applyFont="1" applyBorder="1"/>
    <xf numFmtId="3" fontId="8" fillId="0" borderId="28" xfId="4" applyNumberFormat="1" applyFont="1" applyBorder="1"/>
    <xf numFmtId="3" fontId="14" fillId="0" borderId="0" xfId="0" applyNumberFormat="1" applyFont="1"/>
    <xf numFmtId="3" fontId="7" fillId="0" borderId="0" xfId="4" applyNumberFormat="1"/>
    <xf numFmtId="3" fontId="7" fillId="0" borderId="0" xfId="5" applyNumberFormat="1" applyFont="1"/>
    <xf numFmtId="3" fontId="8" fillId="0" borderId="0" xfId="4" applyNumberFormat="1" applyFont="1"/>
    <xf numFmtId="3" fontId="15" fillId="0" borderId="0" xfId="4" applyNumberFormat="1" applyFont="1"/>
    <xf numFmtId="3" fontId="15" fillId="0" borderId="0" xfId="5" applyNumberFormat="1" applyFont="1"/>
    <xf numFmtId="3" fontId="19" fillId="0" borderId="0" xfId="4" applyNumberFormat="1" applyFont="1"/>
    <xf numFmtId="0" fontId="17" fillId="0" borderId="0" xfId="0" applyFont="1" applyAlignment="1">
      <alignment horizontal="left"/>
    </xf>
    <xf numFmtId="0" fontId="20" fillId="0" borderId="0" xfId="3" applyFont="1"/>
    <xf numFmtId="0" fontId="16" fillId="0" borderId="0" xfId="0" applyFont="1"/>
    <xf numFmtId="3" fontId="16" fillId="0" borderId="0" xfId="0" applyNumberFormat="1" applyFont="1" applyAlignment="1">
      <alignment horizontal="right"/>
    </xf>
    <xf numFmtId="0" fontId="16" fillId="0" borderId="0" xfId="0" applyFont="1" applyAlignment="1">
      <alignment horizontal="right"/>
    </xf>
    <xf numFmtId="0" fontId="17" fillId="0" borderId="0" xfId="0" applyFont="1" applyAlignment="1">
      <alignment horizontal="left" indent="1"/>
    </xf>
    <xf numFmtId="166" fontId="17" fillId="0" borderId="0" xfId="0" applyNumberFormat="1" applyFont="1"/>
    <xf numFmtId="0" fontId="17" fillId="0" borderId="28" xfId="0" applyFont="1" applyBorder="1" applyAlignment="1">
      <alignment horizontal="left" indent="1"/>
    </xf>
    <xf numFmtId="0" fontId="17" fillId="0" borderId="28" xfId="0" applyFont="1" applyBorder="1"/>
    <xf numFmtId="3" fontId="17" fillId="0" borderId="28" xfId="0" applyNumberFormat="1" applyFont="1" applyBorder="1"/>
    <xf numFmtId="166" fontId="17" fillId="0" borderId="28" xfId="0" applyNumberFormat="1" applyFont="1" applyBorder="1"/>
    <xf numFmtId="0" fontId="22" fillId="0" borderId="0" xfId="3" applyFont="1"/>
    <xf numFmtId="0" fontId="23" fillId="0" borderId="0" xfId="3" applyFont="1"/>
    <xf numFmtId="0" fontId="21" fillId="0" borderId="0" xfId="0" applyFont="1"/>
    <xf numFmtId="0" fontId="24" fillId="0" borderId="0" xfId="3" applyFont="1"/>
    <xf numFmtId="0" fontId="25" fillId="0" borderId="0" xfId="0" applyFont="1"/>
    <xf numFmtId="0" fontId="24" fillId="0" borderId="0" xfId="0" applyFont="1"/>
    <xf numFmtId="0" fontId="17" fillId="0" borderId="0" xfId="0" applyFont="1" applyAlignment="1">
      <alignment horizontal="left" vertical="center"/>
    </xf>
    <xf numFmtId="0" fontId="26" fillId="0" borderId="0" xfId="3" applyFont="1"/>
    <xf numFmtId="0" fontId="15" fillId="0" borderId="0" xfId="0" applyFont="1"/>
    <xf numFmtId="0" fontId="29" fillId="0" borderId="31" xfId="1" applyFont="1" applyBorder="1"/>
    <xf numFmtId="165" fontId="7" fillId="0" borderId="0" xfId="4" applyNumberFormat="1"/>
    <xf numFmtId="164" fontId="17" fillId="0" borderId="0" xfId="0" applyNumberFormat="1" applyFont="1"/>
    <xf numFmtId="0" fontId="32" fillId="0" borderId="0" xfId="0" applyFont="1"/>
    <xf numFmtId="2" fontId="17" fillId="0" borderId="0" xfId="0" applyNumberFormat="1" applyFont="1"/>
    <xf numFmtId="3" fontId="17" fillId="0" borderId="0" xfId="0" applyNumberFormat="1" applyFont="1"/>
    <xf numFmtId="2" fontId="15" fillId="0" borderId="0" xfId="0" applyNumberFormat="1" applyFont="1"/>
    <xf numFmtId="0" fontId="34" fillId="0" borderId="0" xfId="0" applyFont="1"/>
    <xf numFmtId="0" fontId="15" fillId="0" borderId="0" xfId="0" applyFont="1" applyAlignment="1">
      <alignment horizontal="center"/>
    </xf>
    <xf numFmtId="3" fontId="15" fillId="0" borderId="0" xfId="0" applyNumberFormat="1" applyFont="1" applyAlignment="1">
      <alignment horizontal="center"/>
    </xf>
    <xf numFmtId="0" fontId="36" fillId="0" borderId="31" xfId="1" applyFont="1" applyBorder="1"/>
    <xf numFmtId="0" fontId="17" fillId="0" borderId="19" xfId="0" applyFont="1" applyBorder="1"/>
    <xf numFmtId="0" fontId="17" fillId="0" borderId="15" xfId="0" applyFont="1" applyBorder="1"/>
    <xf numFmtId="0" fontId="17" fillId="0" borderId="16" xfId="0" applyFont="1" applyBorder="1"/>
    <xf numFmtId="0" fontId="17" fillId="0" borderId="20" xfId="0" applyFont="1" applyBorder="1" applyAlignment="1">
      <alignment horizontal="left" indent="1"/>
    </xf>
    <xf numFmtId="3" fontId="17" fillId="0" borderId="17" xfId="0" applyNumberFormat="1" applyFont="1" applyBorder="1"/>
    <xf numFmtId="3" fontId="17" fillId="0" borderId="18" xfId="0" applyNumberFormat="1" applyFont="1" applyBorder="1"/>
    <xf numFmtId="17" fontId="16" fillId="0" borderId="27" xfId="0" applyNumberFormat="1" applyFont="1" applyBorder="1"/>
    <xf numFmtId="0" fontId="16" fillId="0" borderId="27" xfId="0" applyFont="1" applyBorder="1" applyAlignment="1">
      <alignment horizontal="center"/>
    </xf>
    <xf numFmtId="164" fontId="7" fillId="0" borderId="0" xfId="4" applyNumberFormat="1"/>
    <xf numFmtId="164" fontId="7" fillId="0" borderId="26" xfId="4" applyNumberFormat="1" applyBorder="1"/>
    <xf numFmtId="10" fontId="17" fillId="0" borderId="0" xfId="0" applyNumberFormat="1" applyFont="1"/>
    <xf numFmtId="10" fontId="15" fillId="0" borderId="0" xfId="0" applyNumberFormat="1" applyFont="1"/>
    <xf numFmtId="165" fontId="17" fillId="0" borderId="0" xfId="0" applyNumberFormat="1" applyFont="1"/>
    <xf numFmtId="0" fontId="7" fillId="0" borderId="0" xfId="0" applyFont="1" applyAlignment="1">
      <alignment horizontal="right"/>
    </xf>
    <xf numFmtId="3" fontId="16" fillId="2" borderId="30" xfId="0" applyNumberFormat="1" applyFont="1" applyFill="1" applyBorder="1"/>
    <xf numFmtId="164" fontId="35" fillId="2" borderId="30" xfId="0" applyNumberFormat="1" applyFont="1" applyFill="1" applyBorder="1"/>
    <xf numFmtId="164" fontId="16" fillId="2" borderId="30" xfId="0" applyNumberFormat="1" applyFont="1" applyFill="1" applyBorder="1"/>
    <xf numFmtId="0" fontId="16" fillId="0" borderId="28" xfId="0" applyFont="1" applyBorder="1"/>
    <xf numFmtId="3" fontId="16" fillId="0" borderId="0" xfId="0" applyNumberFormat="1" applyFont="1"/>
    <xf numFmtId="0" fontId="37" fillId="0" borderId="0" xfId="1" applyFont="1" applyBorder="1"/>
    <xf numFmtId="0" fontId="16" fillId="0" borderId="0" xfId="0" applyFont="1" applyAlignment="1">
      <alignment horizontal="left"/>
    </xf>
    <xf numFmtId="0" fontId="17" fillId="0" borderId="0" xfId="0" quotePrefix="1" applyFont="1"/>
    <xf numFmtId="0" fontId="32" fillId="0" borderId="0" xfId="1" applyFont="1" applyBorder="1"/>
    <xf numFmtId="17" fontId="17" fillId="0" borderId="0" xfId="0" quotePrefix="1" applyNumberFormat="1" applyFont="1"/>
    <xf numFmtId="164" fontId="17" fillId="0" borderId="0" xfId="0" applyNumberFormat="1" applyFont="1" applyAlignment="1">
      <alignment horizontal="right"/>
    </xf>
    <xf numFmtId="0" fontId="30" fillId="0" borderId="0" xfId="1" applyFont="1" applyBorder="1" applyProtection="1"/>
    <xf numFmtId="0" fontId="31" fillId="5" borderId="13" xfId="0" applyFont="1" applyFill="1" applyBorder="1"/>
    <xf numFmtId="0" fontId="31" fillId="5" borderId="13" xfId="0" applyFont="1" applyFill="1" applyBorder="1" applyAlignment="1">
      <alignment horizontal="right"/>
    </xf>
    <xf numFmtId="3" fontId="32" fillId="0" borderId="0" xfId="4" applyNumberFormat="1" applyFont="1"/>
    <xf numFmtId="0" fontId="31" fillId="5" borderId="3" xfId="0" applyFont="1" applyFill="1" applyBorder="1"/>
    <xf numFmtId="0" fontId="33" fillId="5" borderId="3" xfId="0" applyFont="1" applyFill="1" applyBorder="1"/>
    <xf numFmtId="17" fontId="33" fillId="5" borderId="5" xfId="0" quotePrefix="1" applyNumberFormat="1" applyFont="1" applyFill="1" applyBorder="1" applyAlignment="1">
      <alignment horizontal="right"/>
    </xf>
    <xf numFmtId="17" fontId="33" fillId="5" borderId="0" xfId="0" quotePrefix="1" applyNumberFormat="1" applyFont="1" applyFill="1" applyAlignment="1">
      <alignment horizontal="right"/>
    </xf>
    <xf numFmtId="17" fontId="33" fillId="5" borderId="6" xfId="0" quotePrefix="1" applyNumberFormat="1" applyFont="1" applyFill="1" applyBorder="1" applyAlignment="1">
      <alignment horizontal="right"/>
    </xf>
    <xf numFmtId="0" fontId="33" fillId="5" borderId="4" xfId="0" applyFont="1" applyFill="1" applyBorder="1" applyAlignment="1">
      <alignment horizontal="right"/>
    </xf>
    <xf numFmtId="17" fontId="33" fillId="5" borderId="3" xfId="0" quotePrefix="1" applyNumberFormat="1" applyFont="1" applyFill="1" applyBorder="1" applyAlignment="1">
      <alignment horizontal="right"/>
    </xf>
    <xf numFmtId="0" fontId="9" fillId="5" borderId="3" xfId="0" applyFont="1" applyFill="1" applyBorder="1"/>
    <xf numFmtId="3" fontId="9" fillId="5" borderId="5" xfId="0" quotePrefix="1" applyNumberFormat="1" applyFont="1" applyFill="1" applyBorder="1" applyAlignment="1">
      <alignment horizontal="right"/>
    </xf>
    <xf numFmtId="2" fontId="9" fillId="5" borderId="0" xfId="0" quotePrefix="1" applyNumberFormat="1" applyFont="1" applyFill="1" applyAlignment="1">
      <alignment horizontal="right"/>
    </xf>
    <xf numFmtId="2" fontId="9" fillId="5" borderId="6" xfId="0" quotePrefix="1" applyNumberFormat="1" applyFont="1" applyFill="1" applyBorder="1" applyAlignment="1">
      <alignment horizontal="right"/>
    </xf>
    <xf numFmtId="2" fontId="9" fillId="5" borderId="4" xfId="0" applyNumberFormat="1" applyFont="1" applyFill="1" applyBorder="1" applyAlignment="1">
      <alignment horizontal="right"/>
    </xf>
    <xf numFmtId="0" fontId="31" fillId="5" borderId="21" xfId="0" applyFont="1" applyFill="1" applyBorder="1"/>
    <xf numFmtId="17" fontId="31" fillId="5" borderId="11" xfId="0" quotePrefix="1" applyNumberFormat="1" applyFont="1" applyFill="1" applyBorder="1" applyAlignment="1">
      <alignment horizontal="right"/>
    </xf>
    <xf numFmtId="0" fontId="31" fillId="5" borderId="12" xfId="0" quotePrefix="1" applyFont="1" applyFill="1" applyBorder="1" applyAlignment="1">
      <alignment horizontal="right"/>
    </xf>
    <xf numFmtId="0" fontId="31" fillId="5" borderId="4" xfId="0" applyFont="1" applyFill="1" applyBorder="1" applyAlignment="1">
      <alignment horizontal="right"/>
    </xf>
    <xf numFmtId="0" fontId="31" fillId="5" borderId="10" xfId="0" quotePrefix="1" applyFont="1" applyFill="1" applyBorder="1" applyAlignment="1">
      <alignment horizontal="right"/>
    </xf>
    <xf numFmtId="0" fontId="30" fillId="0" borderId="0" xfId="1" applyFont="1" applyBorder="1"/>
    <xf numFmtId="0" fontId="9" fillId="5" borderId="3" xfId="0" applyFont="1" applyFill="1" applyBorder="1" applyAlignment="1">
      <alignment horizontal="center"/>
    </xf>
    <xf numFmtId="0" fontId="9" fillId="5" borderId="3" xfId="0" applyFont="1" applyFill="1" applyBorder="1" applyAlignment="1">
      <alignment horizontal="left"/>
    </xf>
    <xf numFmtId="17" fontId="9" fillId="5" borderId="5" xfId="0" quotePrefix="1" applyNumberFormat="1" applyFont="1" applyFill="1" applyBorder="1" applyAlignment="1">
      <alignment horizontal="left"/>
    </xf>
    <xf numFmtId="17" fontId="9" fillId="5" borderId="5" xfId="0" quotePrefix="1" applyNumberFormat="1" applyFont="1" applyFill="1" applyBorder="1" applyAlignment="1">
      <alignment horizontal="right"/>
    </xf>
    <xf numFmtId="17" fontId="9" fillId="5" borderId="6" xfId="0" quotePrefix="1" applyNumberFormat="1" applyFont="1" applyFill="1" applyBorder="1" applyAlignment="1">
      <alignment horizontal="right"/>
    </xf>
    <xf numFmtId="0" fontId="9" fillId="5" borderId="4" xfId="0" applyFont="1" applyFill="1" applyBorder="1" applyAlignment="1">
      <alignment horizontal="right"/>
    </xf>
    <xf numFmtId="17" fontId="9" fillId="5" borderId="3" xfId="0" quotePrefix="1" applyNumberFormat="1" applyFont="1" applyFill="1" applyBorder="1" applyAlignment="1">
      <alignment horizontal="right"/>
    </xf>
    <xf numFmtId="0" fontId="31" fillId="5" borderId="5" xfId="0" applyFont="1" applyFill="1" applyBorder="1"/>
    <xf numFmtId="0" fontId="31" fillId="5" borderId="4" xfId="0" applyFont="1" applyFill="1" applyBorder="1"/>
    <xf numFmtId="3" fontId="31" fillId="5" borderId="11" xfId="0" quotePrefix="1" applyNumberFormat="1" applyFont="1" applyFill="1" applyBorder="1" applyAlignment="1">
      <alignment horizontal="right"/>
    </xf>
    <xf numFmtId="165" fontId="31" fillId="5" borderId="11" xfId="0" quotePrefix="1" applyNumberFormat="1" applyFont="1" applyFill="1" applyBorder="1" applyAlignment="1">
      <alignment horizontal="right"/>
    </xf>
    <xf numFmtId="165" fontId="31" fillId="5" borderId="12" xfId="0" quotePrefix="1" applyNumberFormat="1" applyFont="1" applyFill="1" applyBorder="1" applyAlignment="1">
      <alignment horizontal="right"/>
    </xf>
    <xf numFmtId="164" fontId="31" fillId="5" borderId="4" xfId="0" applyNumberFormat="1" applyFont="1" applyFill="1" applyBorder="1" applyAlignment="1">
      <alignment horizontal="right"/>
    </xf>
    <xf numFmtId="164" fontId="31" fillId="5" borderId="10" xfId="0" quotePrefix="1" applyNumberFormat="1" applyFont="1" applyFill="1" applyBorder="1" applyAlignment="1">
      <alignment horizontal="right"/>
    </xf>
    <xf numFmtId="164" fontId="31" fillId="5" borderId="11" xfId="0" quotePrefix="1" applyNumberFormat="1" applyFont="1" applyFill="1" applyBorder="1" applyAlignment="1">
      <alignment horizontal="right"/>
    </xf>
    <xf numFmtId="0" fontId="9" fillId="5" borderId="13" xfId="0" applyFont="1" applyFill="1" applyBorder="1"/>
    <xf numFmtId="3" fontId="9" fillId="5" borderId="0" xfId="0" quotePrefix="1" applyNumberFormat="1" applyFont="1" applyFill="1" applyAlignment="1">
      <alignment horizontal="right"/>
    </xf>
    <xf numFmtId="17" fontId="9" fillId="5" borderId="0" xfId="0" quotePrefix="1" applyNumberFormat="1" applyFont="1" applyFill="1" applyAlignment="1">
      <alignment horizontal="right"/>
    </xf>
    <xf numFmtId="17" fontId="9" fillId="5" borderId="4" xfId="0" applyNumberFormat="1" applyFont="1" applyFill="1" applyBorder="1" applyAlignment="1">
      <alignment horizontal="right"/>
    </xf>
    <xf numFmtId="3" fontId="7" fillId="0" borderId="26" xfId="4" applyNumberFormat="1" applyBorder="1"/>
    <xf numFmtId="3" fontId="15" fillId="0" borderId="27" xfId="5" applyNumberFormat="1" applyFont="1" applyBorder="1"/>
    <xf numFmtId="0" fontId="38" fillId="0" borderId="0" xfId="0" applyFont="1"/>
    <xf numFmtId="0" fontId="39" fillId="0" borderId="0" xfId="0" applyFont="1"/>
    <xf numFmtId="2" fontId="38" fillId="0" borderId="0" xfId="0" applyNumberFormat="1" applyFont="1"/>
    <xf numFmtId="0" fontId="38" fillId="0" borderId="0" xfId="0" applyFont="1" applyAlignment="1">
      <alignment horizontal="right"/>
    </xf>
    <xf numFmtId="0" fontId="40" fillId="0" borderId="28" xfId="0" applyFont="1" applyBorder="1"/>
    <xf numFmtId="3" fontId="40" fillId="0" borderId="29" xfId="0" applyNumberFormat="1" applyFont="1" applyBorder="1"/>
    <xf numFmtId="164" fontId="41" fillId="0" borderId="29" xfId="0" applyNumberFormat="1" applyFont="1" applyBorder="1"/>
    <xf numFmtId="3" fontId="38" fillId="0" borderId="0" xfId="0" applyNumberFormat="1" applyFont="1"/>
    <xf numFmtId="2" fontId="39" fillId="0" borderId="0" xfId="0" applyNumberFormat="1" applyFont="1"/>
    <xf numFmtId="164" fontId="38" fillId="0" borderId="0" xfId="0" applyNumberFormat="1" applyFont="1"/>
    <xf numFmtId="0" fontId="40" fillId="0" borderId="0" xfId="0" applyFont="1"/>
    <xf numFmtId="3" fontId="40" fillId="0" borderId="0" xfId="0" applyNumberFormat="1" applyFont="1"/>
    <xf numFmtId="164" fontId="40" fillId="0" borderId="0" xfId="0" applyNumberFormat="1" applyFont="1"/>
    <xf numFmtId="3" fontId="42" fillId="0" borderId="0" xfId="0" applyNumberFormat="1" applyFont="1"/>
    <xf numFmtId="0" fontId="40" fillId="0" borderId="0" xfId="0" applyFont="1" applyAlignment="1">
      <alignment horizontal="right"/>
    </xf>
    <xf numFmtId="2" fontId="40" fillId="0" borderId="0" xfId="0" applyNumberFormat="1" applyFont="1"/>
    <xf numFmtId="164" fontId="40" fillId="0" borderId="0" xfId="0" applyNumberFormat="1" applyFont="1" applyAlignment="1">
      <alignment horizontal="right"/>
    </xf>
    <xf numFmtId="0" fontId="41" fillId="0" borderId="0" xfId="0" applyFont="1"/>
    <xf numFmtId="0" fontId="40" fillId="0" borderId="0" xfId="0" pivotButton="1" applyFont="1"/>
    <xf numFmtId="0" fontId="40" fillId="0" borderId="0" xfId="0" applyFont="1" applyAlignment="1">
      <alignment horizontal="left" indent="1"/>
    </xf>
    <xf numFmtId="165" fontId="40" fillId="0" borderId="0" xfId="0" applyNumberFormat="1" applyFont="1"/>
    <xf numFmtId="0" fontId="40" fillId="3" borderId="0" xfId="0" applyFont="1" applyFill="1" applyAlignment="1">
      <alignment horizontal="left" indent="1"/>
    </xf>
    <xf numFmtId="3" fontId="40" fillId="3" borderId="0" xfId="0" applyNumberFormat="1" applyFont="1" applyFill="1"/>
    <xf numFmtId="165" fontId="40" fillId="3" borderId="0" xfId="0" applyNumberFormat="1" applyFont="1" applyFill="1"/>
    <xf numFmtId="0" fontId="40" fillId="4" borderId="25" xfId="0" applyFont="1" applyFill="1" applyBorder="1" applyAlignment="1">
      <alignment horizontal="left"/>
    </xf>
    <xf numFmtId="3" fontId="40" fillId="4" borderId="22" xfId="0" applyNumberFormat="1" applyFont="1" applyFill="1" applyBorder="1"/>
    <xf numFmtId="3" fontId="40" fillId="4" borderId="23" xfId="0" applyNumberFormat="1" applyFont="1" applyFill="1" applyBorder="1"/>
    <xf numFmtId="165" fontId="40" fillId="4" borderId="23" xfId="0" applyNumberFormat="1" applyFont="1" applyFill="1" applyBorder="1"/>
    <xf numFmtId="165" fontId="40" fillId="4" borderId="24" xfId="0" applyNumberFormat="1" applyFont="1" applyFill="1" applyBorder="1"/>
    <xf numFmtId="0" fontId="40" fillId="0" borderId="0" xfId="0" applyFont="1" applyAlignment="1">
      <alignment horizontal="left"/>
    </xf>
    <xf numFmtId="0" fontId="38" fillId="0" borderId="0" xfId="0" pivotButton="1" applyFont="1"/>
    <xf numFmtId="0" fontId="38" fillId="0" borderId="0" xfId="0" applyFont="1" applyAlignment="1">
      <alignment horizontal="left"/>
    </xf>
    <xf numFmtId="0" fontId="38" fillId="0" borderId="0" xfId="0" applyFont="1" applyAlignment="1">
      <alignment horizontal="left" indent="1"/>
    </xf>
    <xf numFmtId="0" fontId="29" fillId="0" borderId="31" xfId="1" quotePrefix="1" applyFont="1" applyBorder="1"/>
    <xf numFmtId="0" fontId="28" fillId="0" borderId="0" xfId="1" quotePrefix="1" applyFont="1" applyBorder="1"/>
    <xf numFmtId="0" fontId="17" fillId="0" borderId="0" xfId="0" applyFont="1" applyAlignment="1">
      <alignment horizontal="center" vertical="center"/>
    </xf>
    <xf numFmtId="0" fontId="17" fillId="0" borderId="0" xfId="0" applyFont="1" applyAlignment="1">
      <alignment horizontal="center"/>
    </xf>
    <xf numFmtId="1" fontId="17" fillId="0" borderId="0" xfId="0" applyNumberFormat="1" applyFont="1"/>
    <xf numFmtId="0" fontId="43" fillId="0" borderId="0" xfId="0" applyFont="1" applyAlignment="1">
      <alignment horizontal="right"/>
    </xf>
    <xf numFmtId="1" fontId="43" fillId="0" borderId="0" xfId="0" applyNumberFormat="1" applyFont="1"/>
    <xf numFmtId="0" fontId="43" fillId="0" borderId="0" xfId="0" applyFont="1"/>
    <xf numFmtId="0" fontId="43" fillId="0" borderId="0" xfId="0" applyFont="1" applyAlignment="1">
      <alignment horizontal="left"/>
    </xf>
    <xf numFmtId="0" fontId="43" fillId="0" borderId="0" xfId="0" applyFont="1" applyAlignment="1">
      <alignment horizontal="center" vertical="center"/>
    </xf>
    <xf numFmtId="0" fontId="44" fillId="0" borderId="0" xfId="0" applyFont="1"/>
    <xf numFmtId="0" fontId="45" fillId="0" borderId="0" xfId="0" applyFont="1"/>
    <xf numFmtId="0" fontId="43" fillId="0" borderId="0" xfId="0" applyFont="1" applyAlignment="1">
      <alignment horizontal="center"/>
    </xf>
    <xf numFmtId="0" fontId="45" fillId="0" borderId="0" xfId="0" applyFont="1" applyAlignment="1">
      <alignment horizontal="center" vertical="center"/>
    </xf>
    <xf numFmtId="0" fontId="17" fillId="0" borderId="37" xfId="0" applyFont="1" applyBorder="1" applyAlignment="1">
      <alignment horizontal="right"/>
    </xf>
    <xf numFmtId="0" fontId="17" fillId="0" borderId="0" xfId="0" applyFont="1" applyAlignment="1">
      <alignment horizontal="right"/>
    </xf>
    <xf numFmtId="0" fontId="17" fillId="0" borderId="36" xfId="0" quotePrefix="1" applyFont="1" applyBorder="1" applyAlignment="1">
      <alignment horizontal="center"/>
    </xf>
    <xf numFmtId="0" fontId="17" fillId="0" borderId="36" xfId="0" applyFont="1" applyBorder="1" applyAlignment="1">
      <alignment horizontal="right"/>
    </xf>
    <xf numFmtId="0" fontId="47" fillId="0" borderId="0" xfId="0" applyFont="1" applyAlignment="1">
      <alignment horizontal="center" vertical="center"/>
    </xf>
    <xf numFmtId="2" fontId="48" fillId="0" borderId="36" xfId="0" applyNumberFormat="1" applyFont="1" applyBorder="1" applyAlignment="1">
      <alignment horizontal="right"/>
    </xf>
    <xf numFmtId="2" fontId="17" fillId="0" borderId="0" xfId="0" applyNumberFormat="1" applyFont="1" applyAlignment="1">
      <alignment horizontal="right"/>
    </xf>
    <xf numFmtId="2" fontId="17" fillId="0" borderId="36" xfId="0" applyNumberFormat="1" applyFont="1" applyBorder="1" applyAlignment="1">
      <alignment horizontal="right"/>
    </xf>
    <xf numFmtId="0" fontId="47" fillId="0" borderId="0" xfId="0" applyFont="1" applyAlignment="1">
      <alignment horizontal="left" indent="1"/>
    </xf>
    <xf numFmtId="2" fontId="48" fillId="0" borderId="0" xfId="0" applyNumberFormat="1" applyFont="1" applyAlignment="1">
      <alignment horizontal="right"/>
    </xf>
    <xf numFmtId="0" fontId="47" fillId="0" borderId="0" xfId="0" applyFont="1"/>
    <xf numFmtId="0" fontId="45" fillId="0" borderId="25" xfId="0" applyFont="1" applyBorder="1"/>
    <xf numFmtId="0" fontId="45" fillId="0" borderId="23" xfId="0" applyFont="1" applyBorder="1" applyAlignment="1">
      <alignment horizontal="center" vertical="center"/>
    </xf>
    <xf numFmtId="0" fontId="17" fillId="0" borderId="23" xfId="0" applyFont="1" applyBorder="1" applyAlignment="1">
      <alignment horizontal="center"/>
    </xf>
    <xf numFmtId="1" fontId="45" fillId="0" borderId="22" xfId="0" applyNumberFormat="1" applyFont="1" applyBorder="1"/>
    <xf numFmtId="0" fontId="45" fillId="0" borderId="22" xfId="0" applyFont="1" applyBorder="1"/>
    <xf numFmtId="0" fontId="45" fillId="0" borderId="25" xfId="0" quotePrefix="1" applyFont="1" applyBorder="1"/>
    <xf numFmtId="0" fontId="45" fillId="0" borderId="23" xfId="0" quotePrefix="1" applyFont="1" applyBorder="1" applyAlignment="1">
      <alignment horizontal="center" vertical="center"/>
    </xf>
    <xf numFmtId="1" fontId="48" fillId="0" borderId="22" xfId="0" applyNumberFormat="1" applyFont="1" applyBorder="1" applyAlignment="1">
      <alignment horizontal="right"/>
    </xf>
    <xf numFmtId="10" fontId="48" fillId="0" borderId="22" xfId="0" applyNumberFormat="1" applyFont="1" applyBorder="1" applyAlignment="1">
      <alignment horizontal="right"/>
    </xf>
    <xf numFmtId="0" fontId="48" fillId="0" borderId="22" xfId="0" applyFont="1" applyBorder="1" applyAlignment="1">
      <alignment horizontal="right"/>
    </xf>
    <xf numFmtId="49" fontId="48" fillId="0" borderId="24" xfId="0" applyNumberFormat="1" applyFont="1" applyBorder="1" applyAlignment="1">
      <alignment horizontal="right"/>
    </xf>
    <xf numFmtId="1" fontId="48" fillId="0" borderId="25" xfId="0" applyNumberFormat="1" applyFont="1" applyBorder="1" applyAlignment="1">
      <alignment horizontal="right"/>
    </xf>
    <xf numFmtId="1" fontId="48" fillId="0" borderId="24" xfId="0" applyNumberFormat="1" applyFont="1" applyBorder="1" applyAlignment="1">
      <alignment horizontal="right"/>
    </xf>
    <xf numFmtId="10" fontId="48" fillId="0" borderId="24" xfId="0" applyNumberFormat="1" applyFont="1" applyBorder="1" applyAlignment="1">
      <alignment horizontal="right"/>
    </xf>
    <xf numFmtId="0" fontId="17" fillId="0" borderId="24" xfId="0" applyFont="1" applyBorder="1"/>
    <xf numFmtId="0" fontId="32" fillId="0" borderId="0" xfId="0" applyFont="1" applyAlignment="1">
      <alignment horizontal="center" vertical="center"/>
    </xf>
    <xf numFmtId="0" fontId="32" fillId="0" borderId="0" xfId="0" applyFont="1" applyAlignment="1">
      <alignment horizontal="center"/>
    </xf>
    <xf numFmtId="3" fontId="17" fillId="2" borderId="30" xfId="0" applyNumberFormat="1" applyFont="1" applyFill="1" applyBorder="1"/>
    <xf numFmtId="166" fontId="0" fillId="0" borderId="0" xfId="0" applyNumberFormat="1"/>
    <xf numFmtId="0" fontId="9" fillId="5" borderId="3" xfId="0" applyFont="1" applyFill="1" applyBorder="1" applyAlignment="1">
      <alignment horizontal="right"/>
    </xf>
    <xf numFmtId="0" fontId="49" fillId="0" borderId="0" xfId="0" applyFont="1" applyAlignment="1">
      <alignment horizontal="left" indent="1"/>
    </xf>
    <xf numFmtId="0" fontId="49" fillId="0" borderId="0" xfId="0" applyFont="1"/>
    <xf numFmtId="166" fontId="49" fillId="0" borderId="0" xfId="0" applyNumberFormat="1" applyFont="1"/>
    <xf numFmtId="166" fontId="17" fillId="0" borderId="26" xfId="0" applyNumberFormat="1" applyFont="1" applyBorder="1"/>
    <xf numFmtId="10" fontId="0" fillId="0" borderId="0" xfId="0" applyNumberFormat="1"/>
    <xf numFmtId="3" fontId="16" fillId="0" borderId="28" xfId="0" applyNumberFormat="1" applyFont="1" applyBorder="1"/>
    <xf numFmtId="167" fontId="50" fillId="0" borderId="0" xfId="0" applyNumberFormat="1" applyFont="1"/>
    <xf numFmtId="167" fontId="17" fillId="0" borderId="0" xfId="0" applyNumberFormat="1" applyFont="1"/>
    <xf numFmtId="0" fontId="41" fillId="0" borderId="29" xfId="0" applyFont="1" applyBorder="1"/>
    <xf numFmtId="167" fontId="49" fillId="0" borderId="0" xfId="0" applyNumberFormat="1" applyFont="1"/>
    <xf numFmtId="3" fontId="7" fillId="0" borderId="0" xfId="4" quotePrefix="1" applyNumberFormat="1"/>
    <xf numFmtId="166" fontId="40" fillId="0" borderId="0" xfId="0" applyNumberFormat="1" applyFont="1"/>
    <xf numFmtId="0" fontId="17" fillId="0" borderId="35" xfId="0" applyFont="1" applyBorder="1" applyAlignment="1">
      <alignment horizontal="center"/>
    </xf>
    <xf numFmtId="0" fontId="21" fillId="0" borderId="0" xfId="0" applyFont="1" applyAlignment="1">
      <alignment horizontal="center"/>
    </xf>
    <xf numFmtId="0" fontId="16" fillId="0" borderId="0" xfId="0" applyFont="1" applyAlignment="1">
      <alignment horizontal="center"/>
    </xf>
    <xf numFmtId="0" fontId="7" fillId="0" borderId="6" xfId="0" applyFont="1" applyBorder="1" applyAlignment="1">
      <alignment horizontal="right"/>
    </xf>
    <xf numFmtId="0" fontId="33" fillId="5" borderId="3" xfId="0" applyFont="1" applyFill="1" applyBorder="1" applyAlignment="1">
      <alignment horizontal="center"/>
    </xf>
    <xf numFmtId="0" fontId="33" fillId="5" borderId="4" xfId="0" applyFont="1" applyFill="1" applyBorder="1" applyAlignment="1">
      <alignment horizontal="center"/>
    </xf>
    <xf numFmtId="0" fontId="33" fillId="5" borderId="5" xfId="0" applyFont="1" applyFill="1" applyBorder="1" applyAlignment="1">
      <alignment horizontal="center"/>
    </xf>
    <xf numFmtId="0" fontId="33" fillId="5" borderId="7" xfId="0" applyFont="1" applyFill="1" applyBorder="1" applyAlignment="1">
      <alignment horizontal="center"/>
    </xf>
    <xf numFmtId="0" fontId="33" fillId="5" borderId="8" xfId="0" applyFont="1" applyFill="1" applyBorder="1" applyAlignment="1">
      <alignment horizontal="center"/>
    </xf>
    <xf numFmtId="0" fontId="46" fillId="0" borderId="34" xfId="0" applyFont="1" applyBorder="1" applyAlignment="1">
      <alignment horizontal="center"/>
    </xf>
    <xf numFmtId="0" fontId="17" fillId="0" borderId="28" xfId="0" applyFont="1" applyBorder="1" applyAlignment="1">
      <alignment horizontal="center"/>
    </xf>
    <xf numFmtId="0" fontId="17" fillId="0" borderId="35" xfId="0" applyFont="1" applyBorder="1" applyAlignment="1">
      <alignment horizontal="center"/>
    </xf>
    <xf numFmtId="0" fontId="29" fillId="0" borderId="31" xfId="1" applyFont="1" applyBorder="1" applyAlignment="1">
      <alignment horizontal="center"/>
    </xf>
    <xf numFmtId="0" fontId="45" fillId="0" borderId="34" xfId="0" applyFont="1" applyBorder="1" applyAlignment="1">
      <alignment horizontal="center"/>
    </xf>
    <xf numFmtId="0" fontId="45" fillId="0" borderId="28" xfId="0" applyFont="1" applyBorder="1" applyAlignment="1">
      <alignment horizontal="center"/>
    </xf>
    <xf numFmtId="0" fontId="45" fillId="0" borderId="35" xfId="0" applyFont="1" applyBorder="1" applyAlignment="1">
      <alignment horizontal="center"/>
    </xf>
    <xf numFmtId="0" fontId="16" fillId="0" borderId="36" xfId="0" applyFont="1" applyBorder="1" applyAlignment="1">
      <alignment horizontal="center"/>
    </xf>
    <xf numFmtId="0" fontId="45" fillId="0" borderId="32" xfId="0" applyFont="1" applyBorder="1" applyAlignment="1">
      <alignment horizontal="center"/>
    </xf>
    <xf numFmtId="0" fontId="45" fillId="0" borderId="26" xfId="0" applyFont="1" applyBorder="1" applyAlignment="1">
      <alignment horizontal="center"/>
    </xf>
    <xf numFmtId="0" fontId="45" fillId="0" borderId="33" xfId="0" applyFont="1" applyBorder="1" applyAlignment="1">
      <alignment horizontal="center"/>
    </xf>
    <xf numFmtId="0" fontId="45" fillId="0" borderId="37" xfId="0" applyFont="1" applyBorder="1" applyAlignment="1">
      <alignment horizontal="center"/>
    </xf>
    <xf numFmtId="0" fontId="45" fillId="0" borderId="0" xfId="0" applyFont="1" applyAlignment="1">
      <alignment horizontal="center"/>
    </xf>
    <xf numFmtId="0" fontId="45" fillId="0" borderId="36" xfId="0" applyFont="1" applyBorder="1" applyAlignment="1">
      <alignment horizontal="center"/>
    </xf>
    <xf numFmtId="3" fontId="9" fillId="5" borderId="5" xfId="0" applyNumberFormat="1" applyFont="1" applyFill="1" applyBorder="1" applyAlignment="1">
      <alignment horizontal="center"/>
    </xf>
    <xf numFmtId="3" fontId="9" fillId="5" borderId="4" xfId="0" applyNumberFormat="1" applyFont="1" applyFill="1" applyBorder="1" applyAlignment="1">
      <alignment horizontal="center"/>
    </xf>
    <xf numFmtId="2" fontId="9" fillId="5" borderId="7" xfId="0" applyNumberFormat="1" applyFont="1" applyFill="1" applyBorder="1" applyAlignment="1">
      <alignment horizontal="center"/>
    </xf>
    <xf numFmtId="2" fontId="9" fillId="5" borderId="8" xfId="0" applyNumberFormat="1" applyFont="1" applyFill="1" applyBorder="1" applyAlignment="1">
      <alignment horizontal="center"/>
    </xf>
    <xf numFmtId="2" fontId="9" fillId="5" borderId="5" xfId="0" applyNumberFormat="1" applyFont="1" applyFill="1" applyBorder="1" applyAlignment="1">
      <alignment horizontal="center"/>
    </xf>
    <xf numFmtId="2" fontId="9" fillId="5" borderId="4" xfId="0" applyNumberFormat="1" applyFont="1" applyFill="1" applyBorder="1" applyAlignment="1">
      <alignment horizontal="center"/>
    </xf>
    <xf numFmtId="0" fontId="31" fillId="5" borderId="5" xfId="0" applyFont="1" applyFill="1" applyBorder="1" applyAlignment="1">
      <alignment horizontal="center"/>
    </xf>
    <xf numFmtId="0" fontId="31" fillId="5" borderId="4" xfId="0" applyFont="1" applyFill="1" applyBorder="1" applyAlignment="1">
      <alignment horizontal="center"/>
    </xf>
    <xf numFmtId="0" fontId="31" fillId="5" borderId="3" xfId="0" applyFont="1" applyFill="1" applyBorder="1" applyAlignment="1">
      <alignment horizontal="center"/>
    </xf>
    <xf numFmtId="0" fontId="34" fillId="0" borderId="6" xfId="0" applyFont="1" applyBorder="1" applyAlignment="1">
      <alignment horizontal="right"/>
    </xf>
    <xf numFmtId="0" fontId="34" fillId="0" borderId="0" xfId="0" applyFont="1" applyAlignment="1">
      <alignment horizontal="right"/>
    </xf>
    <xf numFmtId="0" fontId="9" fillId="5" borderId="5" xfId="0" applyFont="1" applyFill="1" applyBorder="1" applyAlignment="1">
      <alignment horizontal="center"/>
    </xf>
    <xf numFmtId="0" fontId="9" fillId="5" borderId="4" xfId="0" applyFont="1" applyFill="1" applyBorder="1" applyAlignment="1">
      <alignment horizontal="center"/>
    </xf>
    <xf numFmtId="0" fontId="9" fillId="5" borderId="9" xfId="0" applyFont="1" applyFill="1" applyBorder="1" applyAlignment="1">
      <alignment horizontal="center"/>
    </xf>
    <xf numFmtId="0" fontId="9" fillId="5" borderId="6" xfId="0" applyFont="1" applyFill="1" applyBorder="1" applyAlignment="1">
      <alignment horizontal="center"/>
    </xf>
    <xf numFmtId="3" fontId="31" fillId="5" borderId="5" xfId="0" applyNumberFormat="1" applyFont="1" applyFill="1" applyBorder="1" applyAlignment="1">
      <alignment horizontal="center"/>
    </xf>
    <xf numFmtId="3" fontId="31" fillId="5" borderId="4" xfId="0" applyNumberFormat="1" applyFont="1" applyFill="1" applyBorder="1" applyAlignment="1">
      <alignment horizontal="center"/>
    </xf>
    <xf numFmtId="165" fontId="31" fillId="5" borderId="5" xfId="0" applyNumberFormat="1" applyFont="1" applyFill="1" applyBorder="1" applyAlignment="1">
      <alignment horizontal="center"/>
    </xf>
    <xf numFmtId="165" fontId="31" fillId="5" borderId="4" xfId="0" applyNumberFormat="1" applyFont="1" applyFill="1" applyBorder="1" applyAlignment="1">
      <alignment horizontal="center"/>
    </xf>
    <xf numFmtId="164" fontId="31" fillId="5" borderId="5" xfId="0" applyNumberFormat="1" applyFont="1" applyFill="1" applyBorder="1" applyAlignment="1">
      <alignment horizontal="center"/>
    </xf>
    <xf numFmtId="164" fontId="31" fillId="5" borderId="4" xfId="0" applyNumberFormat="1" applyFont="1" applyFill="1" applyBorder="1" applyAlignment="1">
      <alignment horizontal="center"/>
    </xf>
    <xf numFmtId="0" fontId="9" fillId="5" borderId="13" xfId="0" applyFont="1" applyFill="1" applyBorder="1" applyAlignment="1">
      <alignment horizontal="center"/>
    </xf>
    <xf numFmtId="0" fontId="9" fillId="5" borderId="14" xfId="0" applyFont="1" applyFill="1" applyBorder="1" applyAlignment="1">
      <alignment horizontal="center"/>
    </xf>
    <xf numFmtId="0" fontId="9" fillId="5" borderId="3" xfId="0" applyFont="1" applyFill="1" applyBorder="1" applyAlignment="1">
      <alignment horizontal="center"/>
    </xf>
    <xf numFmtId="0" fontId="9" fillId="5" borderId="7" xfId="0" applyFont="1" applyFill="1" applyBorder="1" applyAlignment="1">
      <alignment horizontal="center"/>
    </xf>
    <xf numFmtId="0" fontId="9" fillId="5" borderId="8" xfId="0" applyFont="1" applyFill="1" applyBorder="1" applyAlignment="1">
      <alignment horizontal="center"/>
    </xf>
    <xf numFmtId="0" fontId="51" fillId="0" borderId="0" xfId="0" applyFont="1"/>
    <xf numFmtId="0" fontId="52" fillId="0" borderId="0" xfId="0" applyFont="1" applyAlignment="1">
      <alignment vertical="center"/>
    </xf>
  </cellXfs>
  <cellStyles count="8">
    <cellStyle name="Hyperlänk" xfId="3" builtinId="8"/>
    <cellStyle name="Normal" xfId="0" builtinId="0"/>
    <cellStyle name="Normal 2" xfId="5" xr:uid="{00000000-0005-0000-0000-000004000000}"/>
    <cellStyle name="Normal_Seasonal Index PC &amp; CV" xfId="4" xr:uid="{00000000-0005-0000-0000-000005000000}"/>
    <cellStyle name="Rubrik 1" xfId="1" builtinId="16"/>
    <cellStyle name="Rubrik 2" xfId="2" builtinId="17"/>
    <cellStyle name="Tusental 2" xfId="6" xr:uid="{00000000-0005-0000-0000-000006000000}"/>
    <cellStyle name="Tusental 2 2" xfId="7" xr:uid="{00000000-0005-0000-0000-000007000000}"/>
  </cellStyles>
  <dxfs count="471">
    <dxf>
      <font>
        <strike val="0"/>
        <color theme="9" tint="-0.499984740745262"/>
      </font>
    </dxf>
    <dxf>
      <font>
        <color rgb="FFC00000"/>
      </font>
    </dxf>
    <dxf>
      <font>
        <strike val="0"/>
        <color theme="9" tint="-0.499984740745262"/>
      </font>
    </dxf>
    <dxf>
      <font>
        <color rgb="FFC00000"/>
      </font>
    </dxf>
    <dxf>
      <font>
        <strike val="0"/>
        <color theme="9" tint="-0.499984740745262"/>
      </font>
    </dxf>
    <dxf>
      <font>
        <color rgb="FFC00000"/>
      </font>
    </dxf>
    <dxf>
      <border>
        <right style="thin">
          <color indexed="64"/>
        </right>
      </border>
    </dxf>
    <dxf>
      <font>
        <condense val="0"/>
        <extend val="0"/>
        <color indexed="17"/>
      </font>
      <border>
        <right style="thin">
          <color indexed="64"/>
        </right>
      </border>
    </dxf>
    <dxf>
      <font>
        <color indexed="10"/>
      </font>
      <border>
        <right style="thin">
          <color indexed="64"/>
        </right>
      </border>
    </dxf>
    <dxf>
      <font>
        <color rgb="FFFF0000"/>
      </font>
    </dxf>
    <dxf>
      <font>
        <color theme="5" tint="-0.24994659260841701"/>
      </font>
    </dxf>
    <dxf>
      <font>
        <color theme="5" tint="-0.24994659260841701"/>
      </font>
    </dxf>
    <dxf>
      <font>
        <color theme="5" tint="-0.24994659260841701"/>
      </font>
    </dxf>
    <dxf>
      <font>
        <color theme="5" tint="-0.24994659260841701"/>
      </font>
    </dxf>
    <dxf>
      <font>
        <color theme="4" tint="-0.24994659260841701"/>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left" readingOrder="0"/>
    </dxf>
    <dxf>
      <alignment horizontal="general" indent="0" readingOrder="0"/>
    </dxf>
    <dxf>
      <alignment horizontal="left" indent="1" readingOrder="0"/>
    </dxf>
    <dxf>
      <alignment horizontal="right" indent="1" readingOrder="0"/>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alignment horizontal="right" vertical="bottom" textRotation="0" wrapText="0" indent="0" justifyLastLine="0" shrinkToFit="0" readingOrder="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2" formatCode="0.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alignment horizontal="right"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patternType="none">
          <fgColor indexed="64"/>
          <bgColor indexed="65"/>
        </patternFill>
      </fill>
    </dxf>
    <dxf>
      <fill>
        <patternFill patternType="none">
          <fgColor indexed="64"/>
          <bgColor indexed="65"/>
        </patternFill>
      </fill>
    </dxf>
    <dxf>
      <fill>
        <patternFill patternType="solid">
          <fgColor indexed="64"/>
          <bgColor theme="4" tint="0.59996337778862885"/>
        </patternFill>
      </fill>
    </dxf>
    <dxf>
      <fill>
        <patternFill patternType="solid">
          <fgColor indexed="64"/>
          <bgColor theme="4" tint="0.59996337778862885"/>
        </patternFill>
      </fill>
    </dxf>
    <dxf>
      <numFmt numFmtId="165" formatCode="#,##0.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solid">
          <fgColor indexed="64"/>
          <bgColor theme="4" tint="0.59996337778862885"/>
        </patternFill>
      </fill>
    </dxf>
    <dxf>
      <fill>
        <patternFill patternType="solid">
          <fgColor indexed="64"/>
          <bgColor theme="4" tint="0.5999633777886288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fill>
        <patternFill patternType="none">
          <fgColor indexed="64"/>
          <bgColor indexed="65"/>
        </patternFill>
      </fill>
    </dxf>
    <dxf>
      <fill>
        <patternFill patternType="solid">
          <fgColor indexed="64"/>
          <bgColor theme="4" tint="0.59996337778862885"/>
        </patternFill>
      </fill>
    </dxf>
    <dxf>
      <border>
        <top style="thin">
          <color auto="1"/>
        </top>
      </border>
    </dxf>
    <dxf>
      <border>
        <top style="thin">
          <color auto="1"/>
        </top>
      </border>
    </dxf>
    <dxf>
      <border>
        <left style="thin">
          <color auto="1"/>
        </left>
        <right style="thin">
          <color auto="1"/>
        </right>
      </border>
    </dxf>
    <dxf>
      <border>
        <left style="thin">
          <color auto="1"/>
        </left>
        <right style="thin">
          <color auto="1"/>
        </right>
      </border>
    </dxf>
    <dxf>
      <border>
        <bottom style="thin">
          <color auto="1"/>
        </bottom>
      </border>
    </dxf>
    <dxf>
      <border>
        <bottom style="thin">
          <color auto="1"/>
        </bottom>
      </border>
    </dxf>
    <dxf>
      <fill>
        <patternFill patternType="solid">
          <bgColor theme="0"/>
        </patternFill>
      </fill>
    </dxf>
    <dxf>
      <fill>
        <patternFill>
          <bgColor theme="4" tint="0.59996337778862885"/>
        </patternFill>
      </fill>
    </dxf>
    <dxf>
      <fill>
        <patternFill>
          <bgColor theme="4" tint="0.59996337778862885"/>
        </patternFill>
      </fill>
    </dxf>
    <dxf>
      <fill>
        <patternFill patternType="solid">
          <bgColor theme="4" tint="0.39994506668294322"/>
        </patternFill>
      </fill>
    </dxf>
    <dxf>
      <fill>
        <patternFill patternType="solid">
          <bgColor theme="4" tint="0.39994506668294322"/>
        </patternFill>
      </fill>
    </dxf>
    <dxf>
      <fill>
        <patternFill patternType="solid">
          <bgColor theme="4" tint="0.59996337778862885"/>
        </patternFill>
      </fill>
    </dxf>
    <dxf>
      <fill>
        <patternFill patternType="solid">
          <bgColor theme="4" tint="0.59996337778862885"/>
        </patternFill>
      </fill>
    </dxf>
    <dxf>
      <alignment indent="1" readingOrder="0"/>
    </dxf>
    <dxf>
      <numFmt numFmtId="3" formatCode="#,##0"/>
    </dxf>
    <dxf>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i val="0"/>
        <strike val="0"/>
        <condense val="0"/>
        <extend val="0"/>
        <outline val="0"/>
        <shadow val="0"/>
        <u val="none"/>
        <vertAlign val="baseline"/>
        <sz val="11"/>
        <color theme="1"/>
        <name val="Arial"/>
        <scheme val="none"/>
      </font>
      <numFmt numFmtId="3" formatCode="#,##0"/>
    </dxf>
    <dxf>
      <font>
        <b/>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164" formatCode="0.0"/>
    </dxf>
    <dxf>
      <font>
        <strike val="0"/>
        <outline val="0"/>
        <shadow val="0"/>
        <u val="none"/>
        <vertAlign val="baseline"/>
        <sz val="11"/>
        <name val="Arial"/>
        <scheme val="none"/>
      </font>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numFmt numFmtId="3" formatCode="#,##0"/>
    </dxf>
    <dxf>
      <font>
        <strike val="0"/>
        <outline val="0"/>
        <shadow val="0"/>
        <u val="none"/>
        <vertAlign val="baseline"/>
        <sz val="11"/>
        <name val="Arial"/>
        <scheme val="none"/>
      </font>
      <numFmt numFmtId="3" formatCode="#,##0"/>
    </dxf>
    <dxf>
      <font>
        <b val="0"/>
        <i val="0"/>
        <strike val="0"/>
        <condense val="0"/>
        <extend val="0"/>
        <outline val="0"/>
        <shadow val="0"/>
        <u val="none"/>
        <vertAlign val="baseline"/>
        <sz val="11"/>
        <color theme="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sz val="11"/>
        <name val="Arial"/>
        <scheme val="none"/>
      </font>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font>
        <strike val="0"/>
        <outline val="0"/>
        <shadow val="0"/>
        <u val="none"/>
        <vertAlign val="baseline"/>
        <name val="Arial"/>
        <scheme val="none"/>
      </font>
      <numFmt numFmtId="164"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numFmt numFmtId="2" formatCode="0.00"/>
    </dxf>
    <dxf>
      <font>
        <strike val="0"/>
        <outline val="0"/>
        <shadow val="0"/>
        <u val="none"/>
        <vertAlign val="baseline"/>
        <name val="Arial"/>
        <scheme val="none"/>
      </font>
      <numFmt numFmtId="164" formatCode="0.0"/>
    </dxf>
    <dxf>
      <numFmt numFmtId="2" formatCode="0.00"/>
    </dxf>
    <dxf>
      <font>
        <strike val="0"/>
        <outline val="0"/>
        <shadow val="0"/>
        <u val="none"/>
        <vertAlign val="baseline"/>
        <name val="Arial"/>
        <scheme val="none"/>
      </font>
      <numFmt numFmtId="165" formatCode="#,##0.0"/>
    </dxf>
    <dxf>
      <numFmt numFmtId="3" formatCode="#,##0"/>
    </dxf>
    <dxf>
      <font>
        <strike val="0"/>
        <outline val="0"/>
        <shadow val="0"/>
        <u val="none"/>
        <vertAlign val="baseline"/>
        <name val="Arial"/>
        <scheme val="none"/>
      </font>
      <numFmt numFmtId="3" formatCode="#,##0"/>
    </dxf>
    <dxf>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numFmt numFmtId="3" formatCode="#,##0"/>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numFmt numFmtId="3" formatCode="#,##0"/>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numFmt numFmtId="3" formatCode="#,##0"/>
    </dxf>
    <dxf>
      <font>
        <strike val="0"/>
        <outline val="0"/>
        <shadow val="0"/>
        <u val="none"/>
        <vertAlign val="baseline"/>
        <sz val="10"/>
        <color theme="1"/>
        <name val="Arial"/>
        <scheme val="none"/>
      </font>
      <numFmt numFmtId="3" formatCode="#,##0"/>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auto="1"/>
        <name val="Arial"/>
        <scheme val="none"/>
      </font>
      <border diagonalUp="0" diagonalDown="0" outline="0">
        <left style="thin">
          <color indexed="65"/>
        </left>
        <right/>
        <top style="thin">
          <color indexed="64"/>
        </top>
        <bottom/>
      </border>
    </dxf>
    <dxf>
      <font>
        <strike val="0"/>
        <outline val="0"/>
        <shadow val="0"/>
        <u val="none"/>
        <vertAlign val="baseline"/>
        <name val="Arial"/>
        <scheme val="none"/>
      </font>
      <numFmt numFmtId="166"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0"/>
        <color auto="1"/>
        <name val="Arial"/>
        <scheme val="none"/>
      </font>
      <numFmt numFmtId="164" formatCode="0.0"/>
      <border diagonalUp="0" diagonalDown="0" outline="0">
        <left style="thin">
          <color indexed="65"/>
        </left>
        <right/>
        <top style="thin">
          <color indexed="64"/>
        </top>
        <bottom/>
      </border>
    </dxf>
    <dxf>
      <font>
        <strike val="0"/>
        <outline val="0"/>
        <shadow val="0"/>
        <u val="none"/>
        <vertAlign val="baseline"/>
        <name val="Arial"/>
        <scheme val="none"/>
      </font>
      <numFmt numFmtId="164" formatCode="0.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numFmt numFmtId="3" formatCode="#,##0"/>
      <border diagonalUp="0" diagonalDown="0" outline="0">
        <left style="thin">
          <color indexed="65"/>
        </left>
        <right/>
        <top style="thin">
          <color indexed="64"/>
        </top>
        <bottom/>
      </border>
    </dxf>
    <dxf>
      <font>
        <strike val="0"/>
        <outline val="0"/>
        <shadow val="0"/>
        <u val="none"/>
        <vertAlign val="baseline"/>
        <name val="Arial"/>
        <scheme val="none"/>
      </font>
      <numFmt numFmtId="3" formatCode="#,##0"/>
    </dxf>
    <dxf>
      <font>
        <b val="0"/>
        <i val="0"/>
        <strike val="0"/>
        <condense val="0"/>
        <extend val="0"/>
        <outline val="0"/>
        <shadow val="0"/>
        <u val="none"/>
        <vertAlign val="baseline"/>
        <sz val="11"/>
        <color theme="1"/>
        <name val="Arial"/>
        <scheme val="none"/>
      </font>
      <border diagonalUp="0" diagonalDown="0" outline="0">
        <left/>
        <right/>
        <top style="thin">
          <color indexed="64"/>
        </top>
        <bottom/>
      </border>
    </dxf>
    <dxf>
      <font>
        <strike val="0"/>
        <outline val="0"/>
        <shadow val="0"/>
        <u val="none"/>
        <vertAlign val="baseline"/>
        <name val="Arial"/>
        <scheme val="none"/>
      </font>
      <alignment horizontal="left" vertical="bottom" textRotation="0" wrapText="0" indent="1" justifyLastLine="0" shrinkToFit="0" readingOrder="0"/>
    </dxf>
    <dxf>
      <border>
        <top style="thin">
          <color indexed="64"/>
        </top>
      </border>
    </dxf>
    <dxf>
      <font>
        <strike val="0"/>
        <outline val="0"/>
        <shadow val="0"/>
        <u val="none"/>
        <vertAlign val="baseline"/>
        <name val="Arial"/>
        <scheme val="none"/>
      </font>
    </dxf>
    <dxf>
      <border outline="0">
        <left style="thin">
          <color rgb="FF999999"/>
        </left>
        <top style="thin">
          <color theme="4" tint="0.39997558519241921"/>
        </top>
      </border>
    </dxf>
    <dxf>
      <font>
        <strike val="0"/>
        <outline val="0"/>
        <shadow val="0"/>
        <u val="none"/>
        <vertAlign val="baseline"/>
        <name val="Arial"/>
        <scheme val="none"/>
      </font>
    </dxf>
    <dxf>
      <font>
        <strike val="0"/>
        <outline val="0"/>
        <shadow val="0"/>
        <u val="none"/>
        <vertAlign val="baseline"/>
        <name val="Arial"/>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alignment horizontal="right" vertical="bottom" textRotation="0" wrapText="0" indent="0" justifyLastLine="0" shrinkToFit="0" readingOrder="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numFmt numFmtId="2" formatCode="0.00"/>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b val="0"/>
        <i val="0"/>
        <strike val="0"/>
        <condense val="0"/>
        <extend val="0"/>
        <outline val="0"/>
        <shadow val="0"/>
        <u val="none"/>
        <vertAlign val="baseline"/>
        <sz val="10"/>
        <color theme="1"/>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name val="Arial"/>
        <scheme val="none"/>
      </font>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alignment horizontal="center" vertical="bottom" textRotation="0" wrapText="0" indent="0" justifyLastLine="0" shrinkToFit="0" readingOrder="0"/>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
      <font>
        <strike val="0"/>
        <outline val="0"/>
        <shadow val="0"/>
        <u val="none"/>
        <vertAlign val="baseline"/>
        <sz val="10"/>
        <color theme="1"/>
        <name val="Arial"/>
        <scheme val="none"/>
      </font>
    </dxf>
  </dxfs>
  <tableStyles count="0" defaultTableStyle="TableStyleMedium2" defaultPivotStyle="PivotStyleLight16"/>
  <colors>
    <mruColors>
      <color rgb="FF001489"/>
      <color rgb="FFFF9933"/>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2" Type="http://schemas.openxmlformats.org/officeDocument/2006/relationships/chartUserShapes" Target="../drawings/drawing26.xml"/><Relationship Id="rId1" Type="http://schemas.openxmlformats.org/officeDocument/2006/relationships/themeOverride" Target="../theme/themeOverride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 Id="rId4"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20.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21.xml"/><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r>
              <a:rPr lang="sv-SE" sz="2200"/>
              <a:t>Nyregistrerade personbilar per månad </a:t>
            </a:r>
          </a:p>
          <a:p>
            <a:pPr>
              <a:defRPr>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14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 Personbilar'!$R$5</c:f>
              <c:strCache>
                <c:ptCount val="1"/>
                <c:pt idx="0">
                  <c:v>2021</c:v>
                </c:pt>
              </c:strCache>
            </c:strRef>
          </c:tx>
          <c:spPr>
            <a:solidFill>
              <a:srgbClr val="001489"/>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Personbilar'!$R$6:$R$17</c:f>
              <c:numCache>
                <c:formatCode>#,##0</c:formatCode>
                <c:ptCount val="12"/>
                <c:pt idx="0">
                  <c:v>20573</c:v>
                </c:pt>
                <c:pt idx="1">
                  <c:v>22837</c:v>
                </c:pt>
                <c:pt idx="2">
                  <c:v>47460</c:v>
                </c:pt>
                <c:pt idx="3">
                  <c:v>21871</c:v>
                </c:pt>
                <c:pt idx="4">
                  <c:v>24327</c:v>
                </c:pt>
                <c:pt idx="5">
                  <c:v>36095</c:v>
                </c:pt>
                <c:pt idx="6">
                  <c:v>16778</c:v>
                </c:pt>
                <c:pt idx="7">
                  <c:v>19808</c:v>
                </c:pt>
                <c:pt idx="8">
                  <c:v>22634</c:v>
                </c:pt>
                <c:pt idx="9">
                  <c:v>19962</c:v>
                </c:pt>
                <c:pt idx="10">
                  <c:v>21056</c:v>
                </c:pt>
                <c:pt idx="11">
                  <c:v>27582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 Personbilar'!$S$5</c:f>
              <c:strCache>
                <c:ptCount val="1"/>
                <c:pt idx="0">
                  <c:v>2022</c:v>
                </c:pt>
              </c:strCache>
            </c:strRef>
          </c:tx>
          <c:spPr>
            <a:solidFill>
              <a:srgbClr val="FFC658"/>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Personbilar'!$S$6:$S$17</c:f>
              <c:numCache>
                <c:formatCode>#,##0</c:formatCode>
                <c:ptCount val="12"/>
                <c:pt idx="0">
                  <c:v>19893</c:v>
                </c:pt>
                <c:pt idx="1">
                  <c:v>21136</c:v>
                </c:pt>
                <c:pt idx="2">
                  <c:v>28710</c:v>
                </c:pt>
                <c:pt idx="3">
                  <c:v>21942</c:v>
                </c:pt>
                <c:pt idx="4">
                  <c:v>26413</c:v>
                </c:pt>
                <c:pt idx="5">
                  <c:v>26088</c:v>
                </c:pt>
                <c:pt idx="6">
                  <c:v>17834</c:v>
                </c:pt>
                <c:pt idx="7">
                  <c:v>20576</c:v>
                </c:pt>
                <c:pt idx="8">
                  <c:v>22048</c:v>
                </c:pt>
                <c:pt idx="9">
                  <c:v>22383</c:v>
                </c:pt>
                <c:pt idx="10">
                  <c:v>25588</c:v>
                </c:pt>
                <c:pt idx="11">
                  <c:v>35476</c:v>
                </c:pt>
              </c:numCache>
            </c:numRef>
          </c:val>
          <c:extLst>
            <c:ext xmlns:c16="http://schemas.microsoft.com/office/drawing/2014/chart" uri="{C3380CC4-5D6E-409C-BE32-E72D297353CC}">
              <c16:uniqueId val="{00000001-DF09-4D38-A2F5-42CB03C6031A}"/>
            </c:ext>
          </c:extLst>
        </c:ser>
        <c:ser>
          <c:idx val="2"/>
          <c:order val="2"/>
          <c:tx>
            <c:strRef>
              <c:f>'A. Personbilar'!$T$5</c:f>
              <c:strCache>
                <c:ptCount val="1"/>
                <c:pt idx="0">
                  <c:v>2023</c:v>
                </c:pt>
              </c:strCache>
            </c:strRef>
          </c:tx>
          <c:spPr>
            <a:solidFill>
              <a:srgbClr val="48D597"/>
            </a:solidFill>
            <a:ln>
              <a:noFill/>
            </a:ln>
            <a:effectLst/>
          </c:spPr>
          <c:invertIfNegative val="0"/>
          <c:cat>
            <c:strRef>
              <c:f>'A. Personbilar'!$Q$6:$Q$17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 Personbilar'!$T$6:$T$17</c:f>
              <c:numCache>
                <c:formatCode>#,##0</c:formatCode>
                <c:ptCount val="12"/>
                <c:pt idx="0">
                  <c:v>14601</c:v>
                </c:pt>
                <c:pt idx="1">
                  <c:v>18442</c:v>
                </c:pt>
                <c:pt idx="2">
                  <c:v>30261</c:v>
                </c:pt>
                <c:pt idx="3">
                  <c:v>20586</c:v>
                </c:pt>
                <c:pt idx="4">
                  <c:v>28490</c:v>
                </c:pt>
                <c:pt idx="5">
                  <c:v>28283</c:v>
                </c:pt>
                <c:pt idx="6">
                  <c:v>17300</c:v>
                </c:pt>
                <c:pt idx="7">
                  <c:v>23871</c:v>
                </c:pt>
                <c:pt idx="8">
                  <c:v>28135</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08427520"/>
        <c:axId val="108437504"/>
        <c:extLst/>
      </c:barChart>
      <c:catAx>
        <c:axId val="10842752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8437504"/>
        <c:crosses val="autoZero"/>
        <c:auto val="1"/>
        <c:lblAlgn val="ctr"/>
        <c:lblOffset val="100"/>
        <c:noMultiLvlLbl val="0"/>
      </c:catAx>
      <c:valAx>
        <c:axId val="10843750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08427520"/>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tunga lastbilar över (&gt;=) 16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22204421768707483"/>
          <c:y val="4.044184027777778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'B.4 Tunga lastbilar'!$Q$37:$Q$69</c:f>
              <c:strCache>
                <c:ptCount val="33"/>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strCache>
            </c:strRef>
          </c:cat>
          <c:val>
            <c:numRef>
              <c:f>'B.4 Tunga lastbilar'!$R$37:$R$69</c:f>
              <c:numCache>
                <c:formatCode>0.0</c:formatCode>
                <c:ptCount val="33"/>
                <c:pt idx="0">
                  <c:v>-8.0952380952380949</c:v>
                </c:pt>
                <c:pt idx="1">
                  <c:v>10.189573459715639</c:v>
                </c:pt>
                <c:pt idx="2">
                  <c:v>3.373015873015873</c:v>
                </c:pt>
                <c:pt idx="3">
                  <c:v>16.62971175166297</c:v>
                </c:pt>
                <c:pt idx="4">
                  <c:v>29.210526315789476</c:v>
                </c:pt>
                <c:pt idx="5">
                  <c:v>36.95652173913043</c:v>
                </c:pt>
                <c:pt idx="6">
                  <c:v>18.699186991869919</c:v>
                </c:pt>
                <c:pt idx="7">
                  <c:v>13.846153846153847</c:v>
                </c:pt>
                <c:pt idx="8">
                  <c:v>-9.7345132743362832</c:v>
                </c:pt>
                <c:pt idx="9">
                  <c:v>-13.71308016877637</c:v>
                </c:pt>
                <c:pt idx="10">
                  <c:v>-19.753086419753085</c:v>
                </c:pt>
                <c:pt idx="11">
                  <c:v>25.231481481481481</c:v>
                </c:pt>
                <c:pt idx="12">
                  <c:v>-25.129533678756477</c:v>
                </c:pt>
                <c:pt idx="13">
                  <c:v>-23.440860215053764</c:v>
                </c:pt>
                <c:pt idx="14">
                  <c:v>-5.7581573896353166</c:v>
                </c:pt>
                <c:pt idx="15">
                  <c:v>-9.1254752851711025</c:v>
                </c:pt>
                <c:pt idx="16">
                  <c:v>3.8696537678207736</c:v>
                </c:pt>
                <c:pt idx="17">
                  <c:v>-1.1904761904761905</c:v>
                </c:pt>
                <c:pt idx="18">
                  <c:v>-22.260273972602739</c:v>
                </c:pt>
                <c:pt idx="19">
                  <c:v>7.8378378378378386</c:v>
                </c:pt>
                <c:pt idx="20">
                  <c:v>33.088235294117645</c:v>
                </c:pt>
                <c:pt idx="21">
                  <c:v>24.205378973105134</c:v>
                </c:pt>
                <c:pt idx="22">
                  <c:v>47.435897435897431</c:v>
                </c:pt>
                <c:pt idx="23">
                  <c:v>14.232902033271719</c:v>
                </c:pt>
                <c:pt idx="24">
                  <c:v>57.439446366782008</c:v>
                </c:pt>
                <c:pt idx="25">
                  <c:v>43.539325842696627</c:v>
                </c:pt>
                <c:pt idx="26">
                  <c:v>29.531568228105908</c:v>
                </c:pt>
                <c:pt idx="27">
                  <c:v>7.5313807531380759</c:v>
                </c:pt>
                <c:pt idx="28">
                  <c:v>25.098039215686274</c:v>
                </c:pt>
                <c:pt idx="29">
                  <c:v>17.871485943775099</c:v>
                </c:pt>
                <c:pt idx="30">
                  <c:v>17.180616740088105</c:v>
                </c:pt>
                <c:pt idx="31">
                  <c:v>291.72932330827069</c:v>
                </c:pt>
                <c:pt idx="32">
                  <c:v>-60.405156537753221</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1637632"/>
        <c:axId val="131639168"/>
        <c:extLst/>
      </c:barChart>
      <c:catAx>
        <c:axId val="131637632"/>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1639168"/>
        <c:crosses val="autoZero"/>
        <c:auto val="1"/>
        <c:lblAlgn val="ctr"/>
        <c:lblOffset val="100"/>
        <c:noMultiLvlLbl val="0"/>
      </c:catAx>
      <c:valAx>
        <c:axId val="131639168"/>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1637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a:t>Nyregistrerade personbilar månadsvis</a:t>
            </a:r>
          </a:p>
          <a:p>
            <a:pPr>
              <a:defRPr sz="2200">
                <a:solidFill>
                  <a:srgbClr val="001489"/>
                </a:solidFill>
                <a:latin typeface="NEUEHAASDISPLAY-ROMAN" panose="020D0504030502050203" pitchFamily="34" charset="77"/>
              </a:defRPr>
            </a:pPr>
            <a:r>
              <a:rPr lang="sv-SE"/>
              <a:t>(% förändring)</a:t>
            </a:r>
          </a:p>
        </c:rich>
      </c:tx>
      <c:layout>
        <c:manualLayout>
          <c:xMode val="edge"/>
          <c:yMode val="edge"/>
          <c:x val="0.19468599323876348"/>
          <c:y val="4.0441802812775152E-2"/>
        </c:manualLayout>
      </c:layout>
      <c:overlay val="0"/>
      <c:spPr>
        <a:noFill/>
        <a:ln>
          <a:noFill/>
        </a:ln>
        <a:effectLst/>
      </c:spPr>
      <c:txPr>
        <a:bodyPr rot="0" spcFirstLastPara="1" vertOverflow="ellipsis" vert="horz" wrap="square" anchor="ctr"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'A. Personbilar'!$Q$37:$Q$69</c:f>
              <c:strCache>
                <c:ptCount val="33"/>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strCache>
            </c:strRef>
          </c:cat>
          <c:val>
            <c:numRef>
              <c:f>'A. Personbilar'!$R$37:$R$69</c:f>
              <c:numCache>
                <c:formatCode>#\ ##0.0</c:formatCode>
                <c:ptCount val="33"/>
                <c:pt idx="0">
                  <c:v>-3.3053030671268169</c:v>
                </c:pt>
                <c:pt idx="1">
                  <c:v>5.2687378998801515</c:v>
                </c:pt>
                <c:pt idx="2">
                  <c:v>71.651777641144349</c:v>
                </c:pt>
                <c:pt idx="3">
                  <c:v>15.621695918798901</c:v>
                </c:pt>
                <c:pt idx="4">
                  <c:v>53.183048926390029</c:v>
                </c:pt>
                <c:pt idx="5">
                  <c:v>45.856063361215497</c:v>
                </c:pt>
                <c:pt idx="6">
                  <c:v>-26.146667840478916</c:v>
                </c:pt>
                <c:pt idx="7">
                  <c:v>-22.388527544863255</c:v>
                </c:pt>
                <c:pt idx="8">
                  <c:v>-21.188063651241336</c:v>
                </c:pt>
                <c:pt idx="9">
                  <c:v>-29.079475610189366</c:v>
                </c:pt>
                <c:pt idx="10">
                  <c:v>-20.755711113620112</c:v>
                </c:pt>
                <c:pt idx="11">
                  <c:v>-20.42582655357452</c:v>
                </c:pt>
                <c:pt idx="12">
                  <c:v>-3.3053030671268169</c:v>
                </c:pt>
                <c:pt idx="13">
                  <c:v>-7.4484389368130666</c:v>
                </c:pt>
                <c:pt idx="14">
                  <c:v>-39.506953223767383</c:v>
                </c:pt>
                <c:pt idx="15">
                  <c:v>0.32463078963010383</c:v>
                </c:pt>
                <c:pt idx="16">
                  <c:v>8.5748345459777209</c:v>
                </c:pt>
                <c:pt idx="17">
                  <c:v>-27.724061504363483</c:v>
                </c:pt>
                <c:pt idx="18">
                  <c:v>6.2939563714387887</c:v>
                </c:pt>
                <c:pt idx="19">
                  <c:v>3.877221324717286</c:v>
                </c:pt>
                <c:pt idx="20">
                  <c:v>-2.5890253600777591</c:v>
                </c:pt>
                <c:pt idx="21">
                  <c:v>12.128043282236249</c:v>
                </c:pt>
                <c:pt idx="22">
                  <c:v>21.523556231003038</c:v>
                </c:pt>
                <c:pt idx="23">
                  <c:v>28.620114567471539</c:v>
                </c:pt>
                <c:pt idx="24">
                  <c:v>-26.602322424973607</c:v>
                </c:pt>
                <c:pt idx="25">
                  <c:v>-12.746025738077213</c:v>
                </c:pt>
                <c:pt idx="26">
                  <c:v>5.4022988505747129</c:v>
                </c:pt>
                <c:pt idx="27">
                  <c:v>-6.179928903472792</c:v>
                </c:pt>
                <c:pt idx="28">
                  <c:v>7.8635520387687885</c:v>
                </c:pt>
                <c:pt idx="29">
                  <c:v>8.4138301134621294</c:v>
                </c:pt>
                <c:pt idx="30">
                  <c:v>-2.9942805876415837</c:v>
                </c:pt>
                <c:pt idx="31">
                  <c:v>16.013802488335926</c:v>
                </c:pt>
                <c:pt idx="32">
                  <c:v>27.607946298984036</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12764800"/>
        <c:axId val="112766336"/>
        <c:extLst/>
      </c:barChart>
      <c:catAx>
        <c:axId val="112764800"/>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2766336"/>
        <c:crosses val="autoZero"/>
        <c:auto val="1"/>
        <c:lblAlgn val="ctr"/>
        <c:lblOffset val="100"/>
        <c:noMultiLvlLbl val="0"/>
      </c:catAx>
      <c:valAx>
        <c:axId val="112766336"/>
        <c:scaling>
          <c:orientation val="minMax"/>
        </c:scaling>
        <c:delete val="0"/>
        <c:axPos val="l"/>
        <c:majorGridlines>
          <c:spPr>
            <a:ln w="9525" cap="flat" cmpd="sng" algn="ctr">
              <a:solidFill>
                <a:srgbClr val="5B9BD5"/>
              </a:solidFill>
              <a:round/>
            </a:ln>
            <a:effectLst/>
          </c:spPr>
        </c:majorGridlines>
        <c:numFmt formatCode="#\ ##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12764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4"/>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445020435495418"/>
          <c:y val="0.2793940984649646"/>
          <c:w val="0.39347253625810658"/>
          <c:h val="0.54257088858920199"/>
        </c:manualLayout>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1-012B-4390-AD5C-859BA2BA45B2}"/>
              </c:ext>
            </c:extLst>
          </c:dPt>
          <c:dPt>
            <c:idx val="1"/>
            <c:bubble3D val="0"/>
            <c:spPr>
              <a:solidFill>
                <a:schemeClr val="accent2"/>
              </a:solidFill>
              <a:ln>
                <a:noFill/>
              </a:ln>
              <a:effectLst/>
            </c:spPr>
            <c:extLst>
              <c:ext xmlns:c16="http://schemas.microsoft.com/office/drawing/2014/chart" uri="{C3380CC4-5D6E-409C-BE32-E72D297353CC}">
                <c16:uniqueId val="{00000011-BE6B-4C60-BAFF-3A6F2FE7BAB0}"/>
              </c:ext>
            </c:extLst>
          </c:dPt>
          <c:dPt>
            <c:idx val="2"/>
            <c:bubble3D val="0"/>
            <c:spPr>
              <a:solidFill>
                <a:schemeClr val="accent3"/>
              </a:solidFill>
              <a:ln>
                <a:noFill/>
              </a:ln>
              <a:effectLst/>
            </c:spPr>
            <c:extLst>
              <c:ext xmlns:c16="http://schemas.microsoft.com/office/drawing/2014/chart" uri="{C3380CC4-5D6E-409C-BE32-E72D297353CC}">
                <c16:uniqueId val="{00000012-BE6B-4C60-BAFF-3A6F2FE7BAB0}"/>
              </c:ext>
            </c:extLst>
          </c:dPt>
          <c:dPt>
            <c:idx val="3"/>
            <c:bubble3D val="0"/>
            <c:spPr>
              <a:solidFill>
                <a:schemeClr val="accent4"/>
              </a:solidFill>
              <a:ln>
                <a:noFill/>
              </a:ln>
              <a:effectLst/>
            </c:spPr>
            <c:extLst>
              <c:ext xmlns:c16="http://schemas.microsoft.com/office/drawing/2014/chart" uri="{C3380CC4-5D6E-409C-BE32-E72D297353CC}">
                <c16:uniqueId val="{00000013-BE6B-4C60-BAFF-3A6F2FE7BAB0}"/>
              </c:ext>
            </c:extLst>
          </c:dPt>
          <c:dPt>
            <c:idx val="4"/>
            <c:bubble3D val="0"/>
            <c:spPr>
              <a:solidFill>
                <a:schemeClr val="accent5"/>
              </a:solidFill>
              <a:ln>
                <a:noFill/>
              </a:ln>
              <a:effectLst/>
            </c:spPr>
            <c:extLst>
              <c:ext xmlns:c16="http://schemas.microsoft.com/office/drawing/2014/chart" uri="{C3380CC4-5D6E-409C-BE32-E72D297353CC}">
                <c16:uniqueId val="{00000014-BE6B-4C60-BAFF-3A6F2FE7BAB0}"/>
              </c:ext>
            </c:extLst>
          </c:dPt>
          <c:dPt>
            <c:idx val="5"/>
            <c:bubble3D val="0"/>
            <c:spPr>
              <a:solidFill>
                <a:schemeClr val="accent6"/>
              </a:solidFill>
              <a:ln>
                <a:noFill/>
              </a:ln>
              <a:effectLst/>
            </c:spPr>
            <c:extLst>
              <c:ext xmlns:c16="http://schemas.microsoft.com/office/drawing/2014/chart" uri="{C3380CC4-5D6E-409C-BE32-E72D297353CC}">
                <c16:uniqueId val="{00000016-BE6B-4C60-BAFF-3A6F2FE7BAB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15-BE6B-4C60-BAFF-3A6F2FE7BAB0}"/>
              </c:ext>
            </c:extLst>
          </c:dPt>
          <c:dLbls>
            <c:dLbl>
              <c:idx val="0"/>
              <c:layout>
                <c:manualLayout>
                  <c:x val="8.0634920634920629E-2"/>
                  <c:y val="-6.3940972222222225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12B-4390-AD5C-859BA2BA45B2}"/>
                </c:ext>
              </c:extLst>
            </c:dLbl>
            <c:dLbl>
              <c:idx val="1"/>
              <c:layout>
                <c:manualLayout>
                  <c:x val="0.10655328798185941"/>
                  <c:y val="6.614583333333333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BE6B-4C60-BAFF-3A6F2FE7BAB0}"/>
                </c:ext>
              </c:extLst>
            </c:dLbl>
            <c:dLbl>
              <c:idx val="2"/>
              <c:layout>
                <c:manualLayout>
                  <c:x val="-9.0714285714285761E-2"/>
                  <c:y val="3.30729166666666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2-BE6B-4C60-BAFF-3A6F2FE7BAB0}"/>
                </c:ext>
              </c:extLst>
            </c:dLbl>
            <c:dLbl>
              <c:idx val="3"/>
              <c:layout>
                <c:manualLayout>
                  <c:x val="-8.4954648526077148E-2"/>
                  <c:y val="-6.835069444444452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BE6B-4C60-BAFF-3A6F2FE7BAB0}"/>
                </c:ext>
              </c:extLst>
            </c:dLbl>
            <c:dLbl>
              <c:idx val="4"/>
              <c:layout>
                <c:manualLayout>
                  <c:x val="-4.7517006802721092E-2"/>
                  <c:y val="-9.701388888888892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BE6B-4C60-BAFF-3A6F2FE7BAB0}"/>
                </c:ext>
              </c:extLst>
            </c:dLbl>
            <c:dLbl>
              <c:idx val="5"/>
              <c:layout>
                <c:manualLayout>
                  <c:x val="-2.8798185941043136E-2"/>
                  <c:y val="-0.1146527777777778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BE6B-4C60-BAFF-3A6F2FE7BAB0}"/>
                </c:ext>
              </c:extLst>
            </c:dLbl>
            <c:dLbl>
              <c:idx val="6"/>
              <c:layout>
                <c:manualLayout>
                  <c:x val="2.4478458049886621E-2"/>
                  <c:y val="-0.10803819444444444"/>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BE6B-4C60-BAFF-3A6F2FE7BAB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00000"/>
                    </a:solidFill>
                    <a:latin typeface="Arial"/>
                    <a:ea typeface="Arial"/>
                    <a:cs typeface="Arial"/>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'A.4 Drivmedel PB'!$L$32:$L$38</c:f>
              <c:strCache>
                <c:ptCount val="7"/>
                <c:pt idx="0">
                  <c:v>El</c:v>
                </c:pt>
                <c:pt idx="1">
                  <c:v>Bensin</c:v>
                </c:pt>
                <c:pt idx="2">
                  <c:v>Laddhybrid</c:v>
                </c:pt>
                <c:pt idx="3">
                  <c:v>Diesel</c:v>
                </c:pt>
                <c:pt idx="4">
                  <c:v>Elhybrid</c:v>
                </c:pt>
                <c:pt idx="5">
                  <c:v>Etanol</c:v>
                </c:pt>
                <c:pt idx="6">
                  <c:v>Gas</c:v>
                </c:pt>
              </c:strCache>
            </c:strRef>
          </c:cat>
          <c:val>
            <c:numRef>
              <c:f>'A.4 Drivmedel PB'!$M$32:$M$38</c:f>
              <c:numCache>
                <c:formatCode>0.0</c:formatCode>
                <c:ptCount val="7"/>
                <c:pt idx="0">
                  <c:v>38.678090575275398</c:v>
                </c:pt>
                <c:pt idx="1">
                  <c:v>21.906090899132728</c:v>
                </c:pt>
                <c:pt idx="2">
                  <c:v>20.433492563187901</c:v>
                </c:pt>
                <c:pt idx="3">
                  <c:v>8.6341317051564754</c:v>
                </c:pt>
                <c:pt idx="4">
                  <c:v>7.9954659973615154</c:v>
                </c:pt>
                <c:pt idx="5">
                  <c:v>1.6259543075406371</c:v>
                </c:pt>
                <c:pt idx="6">
                  <c:v>0.70677099952850186</c:v>
                </c:pt>
              </c:numCache>
            </c:numRef>
          </c:val>
          <c:extLst>
            <c:ext xmlns:c16="http://schemas.microsoft.com/office/drawing/2014/chart" uri="{C3380CC4-5D6E-409C-BE32-E72D297353CC}">
              <c16:uniqueId val="{0000000E-012B-4390-AD5C-859BA2BA45B2}"/>
            </c:ext>
          </c:extLst>
        </c:ser>
        <c:dLbls>
          <c:showLegendKey val="0"/>
          <c:showVal val="0"/>
          <c:showCatName val="0"/>
          <c:showSerName val="0"/>
          <c:showPercent val="0"/>
          <c:showBubbleSize val="0"/>
          <c:showLeaderLines val="0"/>
        </c:dLbls>
        <c:firstSliceAng val="0"/>
        <c:holeSize val="50"/>
      </c:doughnutChart>
      <c:spPr>
        <a:noFill/>
        <a:ln w="25400">
          <a:noFill/>
        </a:ln>
        <a:effectLst/>
      </c:spPr>
    </c:plotArea>
    <c:plotVisOnly val="1"/>
    <c:dispBlanksAs val="zero"/>
    <c:showDLblsOverMax val="0"/>
  </c:chart>
  <c:spPr>
    <a:solidFill>
      <a:schemeClr val="bg1"/>
    </a:solidFill>
    <a:ln w="9525" cap="flat" cmpd="sng" algn="ctr">
      <a:noFill/>
      <a:prstDash val="solid"/>
      <a:round/>
    </a:ln>
    <a:effectLst/>
  </c:spPr>
  <c:txPr>
    <a:bodyPr/>
    <a:lstStyle/>
    <a:p>
      <a:pPr>
        <a:defRPr sz="1000" b="0" i="0" u="none" strike="noStrike" baseline="0">
          <a:solidFill>
            <a:srgbClr val="000000"/>
          </a:solidFill>
          <a:latin typeface="Arial"/>
          <a:ea typeface="Arial"/>
          <a:cs typeface="Arial"/>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r>
              <a:rPr lang="sv-SE" sz="2200"/>
              <a:t>Andel laddbara personbilar per månad </a:t>
            </a:r>
          </a:p>
          <a:p>
            <a:pPr>
              <a:defRPr sz="2200">
                <a:solidFill>
                  <a:srgbClr val="001489"/>
                </a:solidFill>
                <a:latin typeface="NEUEHAASDISPLAY-ROMAN" panose="020D0504030502050203" pitchFamily="34" charset="77"/>
              </a:defRPr>
            </a:pPr>
            <a:r>
              <a:rPr lang="sv-SE" sz="2200"/>
              <a:t>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2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 Laddbara PB'!$P$5</c:f>
              <c:strCache>
                <c:ptCount val="1"/>
                <c:pt idx="0">
                  <c:v>2021</c:v>
                </c:pt>
              </c:strCache>
            </c:strRef>
          </c:tx>
          <c:spPr>
            <a:solidFill>
              <a:srgbClr val="001489"/>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PB'!$P$6:$P$17</c:f>
              <c:numCache>
                <c:formatCode>0.0</c:formatCode>
                <c:ptCount val="12"/>
                <c:pt idx="0">
                  <c:v>33.5</c:v>
                </c:pt>
                <c:pt idx="1">
                  <c:v>34.200000000000003</c:v>
                </c:pt>
                <c:pt idx="2">
                  <c:v>37</c:v>
                </c:pt>
                <c:pt idx="3">
                  <c:v>43.2</c:v>
                </c:pt>
                <c:pt idx="4">
                  <c:v>39</c:v>
                </c:pt>
                <c:pt idx="5">
                  <c:v>49.4</c:v>
                </c:pt>
                <c:pt idx="6">
                  <c:v>37.6</c:v>
                </c:pt>
                <c:pt idx="7">
                  <c:v>47.1</c:v>
                </c:pt>
                <c:pt idx="8">
                  <c:v>53.9</c:v>
                </c:pt>
                <c:pt idx="9">
                  <c:v>50.9</c:v>
                </c:pt>
                <c:pt idx="10">
                  <c:v>54.3</c:v>
                </c:pt>
                <c:pt idx="11">
                  <c:v>60.7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 Laddbara PB'!$Q$5</c:f>
              <c:strCache>
                <c:ptCount val="1"/>
                <c:pt idx="0">
                  <c:v>2022</c:v>
                </c:pt>
              </c:strCache>
            </c:strRef>
          </c:tx>
          <c:spPr>
            <a:solidFill>
              <a:srgbClr val="FFC658"/>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PB'!$Q$6:$Q$17</c:f>
              <c:numCache>
                <c:formatCode>0.0</c:formatCode>
                <c:ptCount val="12"/>
                <c:pt idx="0">
                  <c:v>52.9</c:v>
                </c:pt>
                <c:pt idx="1">
                  <c:v>51.6</c:v>
                </c:pt>
                <c:pt idx="2">
                  <c:v>55.6</c:v>
                </c:pt>
                <c:pt idx="3">
                  <c:v>48.2</c:v>
                </c:pt>
                <c:pt idx="4">
                  <c:v>47.4</c:v>
                </c:pt>
                <c:pt idx="5">
                  <c:v>55</c:v>
                </c:pt>
                <c:pt idx="6">
                  <c:v>49.9</c:v>
                </c:pt>
                <c:pt idx="7">
                  <c:v>45.9</c:v>
                </c:pt>
                <c:pt idx="8">
                  <c:v>55.1</c:v>
                </c:pt>
                <c:pt idx="9">
                  <c:v>59.4</c:v>
                </c:pt>
                <c:pt idx="10">
                  <c:v>64.599999999999994</c:v>
                </c:pt>
                <c:pt idx="11">
                  <c:v>74.599999999999994</c:v>
                </c:pt>
              </c:numCache>
            </c:numRef>
          </c:val>
          <c:extLst>
            <c:ext xmlns:c16="http://schemas.microsoft.com/office/drawing/2014/chart" uri="{C3380CC4-5D6E-409C-BE32-E72D297353CC}">
              <c16:uniqueId val="{00000001-DF09-4D38-A2F5-42CB03C6031A}"/>
            </c:ext>
          </c:extLst>
        </c:ser>
        <c:ser>
          <c:idx val="2"/>
          <c:order val="2"/>
          <c:tx>
            <c:strRef>
              <c:f>'A.5 Laddbara PB'!$R$5</c:f>
              <c:strCache>
                <c:ptCount val="1"/>
                <c:pt idx="0">
                  <c:v>2023</c:v>
                </c:pt>
              </c:strCache>
            </c:strRef>
          </c:tx>
          <c:spPr>
            <a:solidFill>
              <a:srgbClr val="48D597"/>
            </a:solidFill>
            <a:ln>
              <a:noFill/>
            </a:ln>
            <a:effectLst/>
          </c:spPr>
          <c:invertIfNegative val="0"/>
          <c:cat>
            <c:strRef>
              <c:f>'A.5 Laddbara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'A.5 Laddbara PB'!$R$6:$R$17</c:f>
              <c:numCache>
                <c:formatCode>0.0</c:formatCode>
                <c:ptCount val="12"/>
                <c:pt idx="0">
                  <c:v>52.1</c:v>
                </c:pt>
                <c:pt idx="1">
                  <c:v>54</c:v>
                </c:pt>
                <c:pt idx="2">
                  <c:v>59.9</c:v>
                </c:pt>
                <c:pt idx="3">
                  <c:v>55.8</c:v>
                </c:pt>
                <c:pt idx="4">
                  <c:v>61.9</c:v>
                </c:pt>
                <c:pt idx="5">
                  <c:v>59.2</c:v>
                </c:pt>
                <c:pt idx="6">
                  <c:v>59.9</c:v>
                </c:pt>
                <c:pt idx="7">
                  <c:v>60.1</c:v>
                </c:pt>
                <c:pt idx="8">
                  <c:v>63.4</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787200"/>
        <c:axId val="130788736"/>
        <c:extLst/>
      </c:barChart>
      <c:catAx>
        <c:axId val="13078720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788736"/>
        <c:crosses val="autoZero"/>
        <c:auto val="1"/>
        <c:lblAlgn val="ctr"/>
        <c:lblOffset val="100"/>
        <c:noMultiLvlLbl val="0"/>
      </c:catAx>
      <c:valAx>
        <c:axId val="13078873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787200"/>
        <c:crosses val="autoZero"/>
        <c:crossBetween val="between"/>
      </c:valAx>
      <c:spPr>
        <a:noFill/>
        <a:ln>
          <a:noFill/>
        </a:ln>
        <a:effectLst>
          <a:softEdge rad="228600"/>
        </a:effectLst>
      </c:spPr>
    </c:plotArea>
    <c:legend>
      <c:legendPos val="tr"/>
      <c:layout>
        <c:manualLayout>
          <c:xMode val="edge"/>
          <c:yMode val="edge"/>
          <c:x val="0.62576213151927429"/>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elbilar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'A.51 Elbilar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PB'!$P$5:$P$17</c15:sqref>
                  </c15:fullRef>
                </c:ext>
              </c:extLst>
              <c:f>'A.51 Elbilar PB'!$P$6:$P$17</c:f>
              <c:numCache>
                <c:formatCode>#,##0</c:formatCode>
                <c:ptCount val="12"/>
                <c:pt idx="0">
                  <c:v>1106</c:v>
                </c:pt>
                <c:pt idx="1">
                  <c:v>1394</c:v>
                </c:pt>
                <c:pt idx="2">
                  <c:v>2609</c:v>
                </c:pt>
                <c:pt idx="3">
                  <c:v>4869</c:v>
                </c:pt>
                <c:pt idx="4">
                  <c:v>3953</c:v>
                </c:pt>
                <c:pt idx="5">
                  <c:v>8687</c:v>
                </c:pt>
                <c:pt idx="6">
                  <c:v>2535</c:v>
                </c:pt>
                <c:pt idx="7">
                  <c:v>4781</c:v>
                </c:pt>
                <c:pt idx="8">
                  <c:v>7454</c:v>
                </c:pt>
                <c:pt idx="9">
                  <c:v>4573</c:v>
                </c:pt>
                <c:pt idx="10">
                  <c:v>5468</c:v>
                </c:pt>
                <c:pt idx="11">
                  <c:v>10041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'A.51 Elbilar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PB'!$Q$5:$Q$17</c15:sqref>
                  </c15:fullRef>
                </c:ext>
              </c:extLst>
              <c:f>'A.51 Elbilar PB'!$Q$6:$Q$17</c:f>
              <c:numCache>
                <c:formatCode>#,##0</c:formatCode>
                <c:ptCount val="12"/>
                <c:pt idx="0">
                  <c:v>5159</c:v>
                </c:pt>
                <c:pt idx="1">
                  <c:v>5413</c:v>
                </c:pt>
                <c:pt idx="2">
                  <c:v>9142</c:v>
                </c:pt>
                <c:pt idx="3">
                  <c:v>5421</c:v>
                </c:pt>
                <c:pt idx="4">
                  <c:v>6383</c:v>
                </c:pt>
                <c:pt idx="5">
                  <c:v>8237</c:v>
                </c:pt>
                <c:pt idx="6">
                  <c:v>4677</c:v>
                </c:pt>
                <c:pt idx="7">
                  <c:v>5813</c:v>
                </c:pt>
                <c:pt idx="8">
                  <c:v>7777</c:v>
                </c:pt>
                <c:pt idx="9">
                  <c:v>7940</c:v>
                </c:pt>
                <c:pt idx="10">
                  <c:v>10868</c:v>
                </c:pt>
                <c:pt idx="11">
                  <c:v>18205</c:v>
                </c:pt>
              </c:numCache>
            </c:numRef>
          </c:val>
          <c:extLst>
            <c:ext xmlns:c16="http://schemas.microsoft.com/office/drawing/2014/chart" uri="{C3380CC4-5D6E-409C-BE32-E72D297353CC}">
              <c16:uniqueId val="{00000001-DF09-4D38-A2F5-42CB03C6031A}"/>
            </c:ext>
          </c:extLst>
        </c:ser>
        <c:ser>
          <c:idx val="2"/>
          <c:order val="2"/>
          <c:tx>
            <c:strRef>
              <c:f>'A.51 Elbilar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'A.51 Elbilar PB'!$O$5:$O$17</c15:sqref>
                  </c15:fullRef>
                </c:ext>
              </c:extLst>
              <c:f>'A.51 Elbilar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'A.51 Elbilar PB'!$R$5:$R$17</c15:sqref>
                  </c15:fullRef>
                </c:ext>
              </c:extLst>
              <c:f>'A.51 Elbilar PB'!$R$6:$R$17</c:f>
              <c:numCache>
                <c:formatCode>#,##0</c:formatCode>
                <c:ptCount val="12"/>
                <c:pt idx="0">
                  <c:v>4199</c:v>
                </c:pt>
                <c:pt idx="1">
                  <c:v>6124</c:v>
                </c:pt>
                <c:pt idx="2">
                  <c:v>12577</c:v>
                </c:pt>
                <c:pt idx="3">
                  <c:v>6928</c:v>
                </c:pt>
                <c:pt idx="4">
                  <c:v>11657</c:v>
                </c:pt>
                <c:pt idx="5">
                  <c:v>10956</c:v>
                </c:pt>
                <c:pt idx="6">
                  <c:v>6487</c:v>
                </c:pt>
                <c:pt idx="7">
                  <c:v>9784</c:v>
                </c:pt>
                <c:pt idx="8">
                  <c:v>12500</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400640"/>
        <c:axId val="130402176"/>
        <c:extLst/>
      </c:barChart>
      <c:catAx>
        <c:axId val="130400640"/>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402176"/>
        <c:crosses val="autoZero"/>
        <c:auto val="1"/>
        <c:lblAlgn val="ctr"/>
        <c:lblOffset val="100"/>
        <c:noMultiLvlLbl val="0"/>
      </c:catAx>
      <c:valAx>
        <c:axId val="13040217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400640"/>
        <c:crosses val="autoZero"/>
        <c:crossBetween val="between"/>
      </c:valAx>
      <c:spPr>
        <a:noFill/>
        <a:ln>
          <a:noFill/>
        </a:ln>
        <a:effectLst>
          <a:softEdge rad="228600"/>
        </a:effectLst>
      </c:spPr>
    </c:plotArea>
    <c:legend>
      <c:legendPos val="tr"/>
      <c:layout>
        <c:manualLayout>
          <c:xMode val="edge"/>
          <c:yMode val="edge"/>
          <c:x val="0.62720204081632647"/>
          <c:y val="0.20891718749999999"/>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r>
              <a:rPr lang="sv-SE" sz="2000"/>
              <a:t>Antal laddhybrider (PB) per månad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HAASDISPLAY-ROMAN" panose="020D0504030502050203" pitchFamily="34" charset="77"/>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'A.52 Laddhybrider PB'!$P$5</c:f>
              <c:strCache>
                <c:ptCount val="1"/>
                <c:pt idx="0">
                  <c:v>2021</c:v>
                </c:pt>
              </c:strCache>
            </c:strRef>
          </c:tx>
          <c:spPr>
            <a:solidFill>
              <a:srgbClr val="001489"/>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PB'!$P$5:$P$17</c15:sqref>
                  </c15:fullRef>
                </c:ext>
              </c:extLst>
              <c:f>'A.52 Laddhybrider PB'!$P$6:$P$17</c:f>
              <c:numCache>
                <c:formatCode>#,##0</c:formatCode>
                <c:ptCount val="12"/>
                <c:pt idx="0">
                  <c:v>5787</c:v>
                </c:pt>
                <c:pt idx="1">
                  <c:v>6559</c:v>
                </c:pt>
                <c:pt idx="2">
                  <c:v>14934</c:v>
                </c:pt>
                <c:pt idx="3">
                  <c:v>4563</c:v>
                </c:pt>
                <c:pt idx="4">
                  <c:v>5547</c:v>
                </c:pt>
                <c:pt idx="5">
                  <c:v>9142</c:v>
                </c:pt>
                <c:pt idx="6">
                  <c:v>3777</c:v>
                </c:pt>
                <c:pt idx="7">
                  <c:v>4541</c:v>
                </c:pt>
                <c:pt idx="8">
                  <c:v>4754</c:v>
                </c:pt>
                <c:pt idx="9">
                  <c:v>5583</c:v>
                </c:pt>
                <c:pt idx="10">
                  <c:v>5962</c:v>
                </c:pt>
                <c:pt idx="11">
                  <c:v>6692</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'A.52 Laddhybrider PB'!$Q$5</c:f>
              <c:strCache>
                <c:ptCount val="1"/>
                <c:pt idx="0">
                  <c:v>2022</c:v>
                </c:pt>
              </c:strCache>
            </c:strRef>
          </c:tx>
          <c:spPr>
            <a:solidFill>
              <a:srgbClr val="FFC658"/>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PB'!$Q$5:$Q$17</c15:sqref>
                  </c15:fullRef>
                </c:ext>
              </c:extLst>
              <c:f>'A.52 Laddhybrider PB'!$Q$6:$Q$17</c:f>
              <c:numCache>
                <c:formatCode>#,##0</c:formatCode>
                <c:ptCount val="12"/>
                <c:pt idx="0">
                  <c:v>5363</c:v>
                </c:pt>
                <c:pt idx="1">
                  <c:v>5495</c:v>
                </c:pt>
                <c:pt idx="2">
                  <c:v>6809</c:v>
                </c:pt>
                <c:pt idx="3">
                  <c:v>5146</c:v>
                </c:pt>
                <c:pt idx="4">
                  <c:v>6138</c:v>
                </c:pt>
                <c:pt idx="5">
                  <c:v>6137</c:v>
                </c:pt>
                <c:pt idx="6">
                  <c:v>4239</c:v>
                </c:pt>
                <c:pt idx="7">
                  <c:v>3649</c:v>
                </c:pt>
                <c:pt idx="8">
                  <c:v>4370</c:v>
                </c:pt>
                <c:pt idx="9">
                  <c:v>5359</c:v>
                </c:pt>
                <c:pt idx="10">
                  <c:v>5650</c:v>
                </c:pt>
                <c:pt idx="11">
                  <c:v>8259</c:v>
                </c:pt>
              </c:numCache>
            </c:numRef>
          </c:val>
          <c:extLst>
            <c:ext xmlns:c16="http://schemas.microsoft.com/office/drawing/2014/chart" uri="{C3380CC4-5D6E-409C-BE32-E72D297353CC}">
              <c16:uniqueId val="{00000001-DF09-4D38-A2F5-42CB03C6031A}"/>
            </c:ext>
          </c:extLst>
        </c:ser>
        <c:ser>
          <c:idx val="2"/>
          <c:order val="2"/>
          <c:tx>
            <c:strRef>
              <c:f>'A.52 Laddhybrider PB'!$R$5</c:f>
              <c:strCache>
                <c:ptCount val="1"/>
                <c:pt idx="0">
                  <c:v>2023</c:v>
                </c:pt>
              </c:strCache>
            </c:strRef>
          </c:tx>
          <c:spPr>
            <a:solidFill>
              <a:srgbClr val="48D597"/>
            </a:solidFill>
            <a:ln>
              <a:noFill/>
            </a:ln>
            <a:effectLst/>
          </c:spPr>
          <c:invertIfNegative val="0"/>
          <c:cat>
            <c:strRef>
              <c:extLst>
                <c:ext xmlns:c15="http://schemas.microsoft.com/office/drawing/2012/chart" uri="{02D57815-91ED-43cb-92C2-25804820EDAC}">
                  <c15:fullRef>
                    <c15:sqref>'A.52 Laddhybrider PB'!$O$5:$O$17</c15:sqref>
                  </c15:fullRef>
                </c:ext>
              </c:extLst>
              <c:f>'A.52 Laddhybrider PB'!$O$6:$O$17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extLst>
                <c:ext xmlns:c15="http://schemas.microsoft.com/office/drawing/2012/chart" uri="{02D57815-91ED-43cb-92C2-25804820EDAC}">
                  <c15:fullRef>
                    <c15:sqref>'A.52 Laddhybrider PB'!$R$5:$R$17</c15:sqref>
                  </c15:fullRef>
                </c:ext>
              </c:extLst>
              <c:f>'A.52 Laddhybrider PB'!$R$6:$R$17</c:f>
              <c:numCache>
                <c:formatCode>#,##0</c:formatCode>
                <c:ptCount val="12"/>
                <c:pt idx="0">
                  <c:v>3424</c:v>
                </c:pt>
                <c:pt idx="1">
                  <c:v>3842</c:v>
                </c:pt>
                <c:pt idx="2">
                  <c:v>5540</c:v>
                </c:pt>
                <c:pt idx="3">
                  <c:v>4549</c:v>
                </c:pt>
                <c:pt idx="4">
                  <c:v>5975</c:v>
                </c:pt>
                <c:pt idx="5">
                  <c:v>5798</c:v>
                </c:pt>
                <c:pt idx="6">
                  <c:v>3882</c:v>
                </c:pt>
                <c:pt idx="7">
                  <c:v>4557</c:v>
                </c:pt>
                <c:pt idx="8">
                  <c:v>5337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0851584"/>
        <c:axId val="130853120"/>
        <c:extLst/>
      </c:barChart>
      <c:catAx>
        <c:axId val="13085158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853120"/>
        <c:crosses val="autoZero"/>
        <c:auto val="1"/>
        <c:lblAlgn val="ctr"/>
        <c:lblOffset val="100"/>
        <c:noMultiLvlLbl val="0"/>
      </c:catAx>
      <c:valAx>
        <c:axId val="13085312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0851584"/>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lätta lastbilar högst 3,5 ton </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månadvis 2021-2023</a:t>
            </a:r>
          </a:p>
        </c:rich>
      </c:tx>
      <c:layout>
        <c:manualLayout>
          <c:xMode val="edge"/>
          <c:yMode val="edge"/>
          <c:x val="0.23089546485260773"/>
          <c:y val="6.4248745519713268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'B.1 Lätta lastbilar'!$R$5</c:f>
              <c:strCache>
                <c:ptCount val="1"/>
                <c:pt idx="0">
                  <c:v>2021</c:v>
                </c:pt>
              </c:strCache>
            </c:strRef>
          </c:tx>
          <c:spPr>
            <a:solidFill>
              <a:srgbClr val="001489"/>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lastbilar'!$R$6:$R$17</c:f>
              <c:numCache>
                <c:formatCode>General</c:formatCode>
                <c:ptCount val="12"/>
                <c:pt idx="0">
                  <c:v>2149</c:v>
                </c:pt>
                <c:pt idx="1">
                  <c:v>2814</c:v>
                </c:pt>
                <c:pt idx="2">
                  <c:v>8680</c:v>
                </c:pt>
                <c:pt idx="3">
                  <c:v>1906</c:v>
                </c:pt>
                <c:pt idx="4">
                  <c:v>2788</c:v>
                </c:pt>
                <c:pt idx="5">
                  <c:v>3139</c:v>
                </c:pt>
                <c:pt idx="6">
                  <c:v>1548</c:v>
                </c:pt>
                <c:pt idx="7">
                  <c:v>2631</c:v>
                </c:pt>
                <c:pt idx="8">
                  <c:v>2973</c:v>
                </c:pt>
                <c:pt idx="9">
                  <c:v>2401</c:v>
                </c:pt>
                <c:pt idx="10">
                  <c:v>2420</c:v>
                </c:pt>
                <c:pt idx="11">
                  <c:v>2787</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'B.1 Lätta lastbilar'!$S$5</c:f>
              <c:strCache>
                <c:ptCount val="1"/>
                <c:pt idx="0">
                  <c:v>2022</c:v>
                </c:pt>
              </c:strCache>
            </c:strRef>
          </c:tx>
          <c:spPr>
            <a:solidFill>
              <a:srgbClr val="FFC658"/>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lastbilar'!$S$6:$S$17</c:f>
              <c:numCache>
                <c:formatCode>General</c:formatCode>
                <c:ptCount val="12"/>
                <c:pt idx="0">
                  <c:v>2074</c:v>
                </c:pt>
                <c:pt idx="1">
                  <c:v>2592</c:v>
                </c:pt>
                <c:pt idx="2">
                  <c:v>3443</c:v>
                </c:pt>
                <c:pt idx="3">
                  <c:v>2954</c:v>
                </c:pt>
                <c:pt idx="4">
                  <c:v>2983</c:v>
                </c:pt>
                <c:pt idx="5">
                  <c:v>2605</c:v>
                </c:pt>
                <c:pt idx="6">
                  <c:v>1533</c:v>
                </c:pt>
                <c:pt idx="7">
                  <c:v>3065</c:v>
                </c:pt>
                <c:pt idx="8">
                  <c:v>3276</c:v>
                </c:pt>
                <c:pt idx="9">
                  <c:v>2572</c:v>
                </c:pt>
                <c:pt idx="10">
                  <c:v>3367</c:v>
                </c:pt>
                <c:pt idx="11">
                  <c:v>4052</c:v>
                </c:pt>
              </c:numCache>
            </c:numRef>
          </c:val>
          <c:extLst>
            <c:ext xmlns:c16="http://schemas.microsoft.com/office/drawing/2014/chart" uri="{C3380CC4-5D6E-409C-BE32-E72D297353CC}">
              <c16:uniqueId val="{00000001-DF09-4D38-A2F5-42CB03C6031A}"/>
            </c:ext>
          </c:extLst>
        </c:ser>
        <c:ser>
          <c:idx val="2"/>
          <c:order val="2"/>
          <c:tx>
            <c:strRef>
              <c:f>'B.1 Lätta lastbilar'!$T$5</c:f>
              <c:strCache>
                <c:ptCount val="1"/>
                <c:pt idx="0">
                  <c:v>2023</c:v>
                </c:pt>
              </c:strCache>
            </c:strRef>
          </c:tx>
          <c:spPr>
            <a:solidFill>
              <a:srgbClr val="48D597"/>
            </a:solidFill>
            <a:ln>
              <a:noFill/>
            </a:ln>
            <a:effectLst/>
          </c:spPr>
          <c:invertIfNegative val="0"/>
          <c:cat>
            <c:strRef>
              <c:f>'B.1 Lätta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'B.1 Lätta lastbilar'!$T$6:$T$17</c:f>
              <c:numCache>
                <c:formatCode>General</c:formatCode>
                <c:ptCount val="12"/>
                <c:pt idx="0">
                  <c:v>2356</c:v>
                </c:pt>
                <c:pt idx="1">
                  <c:v>2983</c:v>
                </c:pt>
                <c:pt idx="2">
                  <c:v>3654</c:v>
                </c:pt>
                <c:pt idx="3">
                  <c:v>3203</c:v>
                </c:pt>
                <c:pt idx="4">
                  <c:v>3919</c:v>
                </c:pt>
                <c:pt idx="5">
                  <c:v>4111</c:v>
                </c:pt>
                <c:pt idx="6">
                  <c:v>2010</c:v>
                </c:pt>
                <c:pt idx="7">
                  <c:v>4044</c:v>
                </c:pt>
                <c:pt idx="8">
                  <c:v>4477</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1074304"/>
        <c:axId val="131088384"/>
        <c:extLst/>
      </c:barChart>
      <c:catAx>
        <c:axId val="13107430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088384"/>
        <c:crosses val="autoZero"/>
        <c:auto val="1"/>
        <c:lblAlgn val="ctr"/>
        <c:lblOffset val="100"/>
        <c:noMultiLvlLbl val="0"/>
      </c:catAx>
      <c:valAx>
        <c:axId val="13108838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1074304"/>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Nyregistrerade lätta lastbilar högst 3,5 ton månadsvis </a:t>
            </a:r>
          </a:p>
          <a:p>
            <a:pPr>
              <a:defRPr sz="2200" b="0" i="0" u="none" strike="noStrike" kern="1200" spc="0" baseline="0">
                <a:solidFill>
                  <a:srgbClr val="001489"/>
                </a:solidFill>
                <a:latin typeface="Neue Haas Grotesk Display Pro" panose="020D0304030502050203" pitchFamily="34" charset="0"/>
                <a:ea typeface="+mn-ea"/>
                <a:cs typeface="+mn-cs"/>
              </a:defRPr>
            </a:pPr>
            <a:r>
              <a:rPr lang="sv-SE">
                <a:latin typeface="Neue Haas Grotesk Display Pro" panose="020D0304030502050203" pitchFamily="34" charset="0"/>
              </a:rPr>
              <a:t>(% förändring)</a:t>
            </a:r>
          </a:p>
        </c:rich>
      </c:tx>
      <c:layout>
        <c:manualLayout>
          <c:xMode val="edge"/>
          <c:yMode val="edge"/>
          <c:x val="0.19468599323876348"/>
          <c:y val="4.0441802812775152E-2"/>
        </c:manualLayout>
      </c:layout>
      <c:overlay val="0"/>
      <c:spPr>
        <a:noFill/>
        <a:ln>
          <a:noFill/>
        </a:ln>
        <a:effectLst/>
      </c:spPr>
    </c:title>
    <c:autoTitleDeleted val="0"/>
    <c:plotArea>
      <c:layout>
        <c:manualLayout>
          <c:layoutTarget val="inner"/>
          <c:xMode val="edge"/>
          <c:yMode val="edge"/>
          <c:x val="7.4515879321672127E-2"/>
          <c:y val="0.24984774305555552"/>
          <c:w val="0.88408216044254029"/>
          <c:h val="0.54596718749999995"/>
        </c:manualLayout>
      </c:layout>
      <c:barChart>
        <c:barDir val="col"/>
        <c:grouping val="clustered"/>
        <c:varyColors val="0"/>
        <c:ser>
          <c:idx val="0"/>
          <c:order val="0"/>
          <c:spPr>
            <a:solidFill>
              <a:srgbClr val="001489"/>
            </a:solidFill>
            <a:ln>
              <a:noFill/>
            </a:ln>
            <a:effectLst/>
          </c:spPr>
          <c:invertIfNegative val="0"/>
          <c:cat>
            <c:strRef>
              <c:f>'B.1 Lätta lastbilar'!$Q$37:$Q$69</c:f>
              <c:strCache>
                <c:ptCount val="33"/>
                <c:pt idx="0">
                  <c:v>Jan-21</c:v>
                </c:pt>
                <c:pt idx="1">
                  <c:v>Feb-21</c:v>
                </c:pt>
                <c:pt idx="2">
                  <c:v>Mar-21</c:v>
                </c:pt>
                <c:pt idx="3">
                  <c:v>Apr-21</c:v>
                </c:pt>
                <c:pt idx="4">
                  <c:v>Maj-21</c:v>
                </c:pt>
                <c:pt idx="5">
                  <c:v>Jun-21</c:v>
                </c:pt>
                <c:pt idx="6">
                  <c:v>Jul-21</c:v>
                </c:pt>
                <c:pt idx="7">
                  <c:v>Aug-21</c:v>
                </c:pt>
                <c:pt idx="8">
                  <c:v>Sep-21</c:v>
                </c:pt>
                <c:pt idx="9">
                  <c:v>Okt-21</c:v>
                </c:pt>
                <c:pt idx="10">
                  <c:v>Nov-21</c:v>
                </c:pt>
                <c:pt idx="11">
                  <c:v>Dec-21</c:v>
                </c:pt>
                <c:pt idx="12">
                  <c:v>Jan-22</c:v>
                </c:pt>
                <c:pt idx="13">
                  <c:v>Feb-22</c:v>
                </c:pt>
                <c:pt idx="14">
                  <c:v>Mar-22</c:v>
                </c:pt>
                <c:pt idx="15">
                  <c:v>Apr-22</c:v>
                </c:pt>
                <c:pt idx="16">
                  <c:v>Maj-22</c:v>
                </c:pt>
                <c:pt idx="17">
                  <c:v>Jun-22</c:v>
                </c:pt>
                <c:pt idx="18">
                  <c:v>Jul-22</c:v>
                </c:pt>
                <c:pt idx="19">
                  <c:v>Aug-22</c:v>
                </c:pt>
                <c:pt idx="20">
                  <c:v>Sep-22</c:v>
                </c:pt>
                <c:pt idx="21">
                  <c:v>Okt-22</c:v>
                </c:pt>
                <c:pt idx="22">
                  <c:v>Nov-22</c:v>
                </c:pt>
                <c:pt idx="23">
                  <c:v>Dec-22</c:v>
                </c:pt>
                <c:pt idx="24">
                  <c:v>Jan-23</c:v>
                </c:pt>
                <c:pt idx="25">
                  <c:v>Feb-23</c:v>
                </c:pt>
                <c:pt idx="26">
                  <c:v>Mar-23</c:v>
                </c:pt>
                <c:pt idx="27">
                  <c:v>Apr-23</c:v>
                </c:pt>
                <c:pt idx="28">
                  <c:v>Maj-23</c:v>
                </c:pt>
                <c:pt idx="29">
                  <c:v>Jun-23</c:v>
                </c:pt>
                <c:pt idx="30">
                  <c:v>Jul-23</c:v>
                </c:pt>
                <c:pt idx="31">
                  <c:v>Aug-23</c:v>
                </c:pt>
                <c:pt idx="32">
                  <c:v>Sep-23</c:v>
                </c:pt>
              </c:strCache>
            </c:strRef>
          </c:cat>
          <c:val>
            <c:numRef>
              <c:f>'B.1 Lätta lastbilar'!$R$37:$R$69</c:f>
              <c:numCache>
                <c:formatCode>0.0</c:formatCode>
                <c:ptCount val="33"/>
                <c:pt idx="0">
                  <c:v>-3.4899953466728708</c:v>
                </c:pt>
                <c:pt idx="1">
                  <c:v>46.333853354134163</c:v>
                </c:pt>
                <c:pt idx="2">
                  <c:v>239.72602739726025</c:v>
                </c:pt>
                <c:pt idx="3">
                  <c:v>-23.29979879275654</c:v>
                </c:pt>
                <c:pt idx="4">
                  <c:v>32.572515454113173</c:v>
                </c:pt>
                <c:pt idx="5">
                  <c:v>40.133928571428577</c:v>
                </c:pt>
                <c:pt idx="6">
                  <c:v>-5.3789731051344738</c:v>
                </c:pt>
                <c:pt idx="7">
                  <c:v>-8.6775425199583474</c:v>
                </c:pt>
                <c:pt idx="8">
                  <c:v>-17.324805339265851</c:v>
                </c:pt>
                <c:pt idx="9">
                  <c:v>-27.242424242424239</c:v>
                </c:pt>
                <c:pt idx="10">
                  <c:v>-22.708399872245288</c:v>
                </c:pt>
                <c:pt idx="11">
                  <c:v>-30.185370741482963</c:v>
                </c:pt>
                <c:pt idx="12">
                  <c:v>-3.4899953466728708</c:v>
                </c:pt>
                <c:pt idx="13">
                  <c:v>-7.8891257995735611</c:v>
                </c:pt>
                <c:pt idx="14">
                  <c:v>-60.334101382488484</c:v>
                </c:pt>
                <c:pt idx="15">
                  <c:v>54.984260230849948</c:v>
                </c:pt>
                <c:pt idx="16">
                  <c:v>6.9942611190817789</c:v>
                </c:pt>
                <c:pt idx="17">
                  <c:v>-17.011787193373689</c:v>
                </c:pt>
                <c:pt idx="18">
                  <c:v>-0.96899224806201545</c:v>
                </c:pt>
                <c:pt idx="19">
                  <c:v>16.495629038388447</c:v>
                </c:pt>
                <c:pt idx="20">
                  <c:v>10.191725529767911</c:v>
                </c:pt>
                <c:pt idx="21">
                  <c:v>7.1220324864639739</c:v>
                </c:pt>
                <c:pt idx="22">
                  <c:v>39.132231404958681</c:v>
                </c:pt>
                <c:pt idx="23">
                  <c:v>45.389307499102976</c:v>
                </c:pt>
                <c:pt idx="24">
                  <c:v>13.596914175506269</c:v>
                </c:pt>
                <c:pt idx="25">
                  <c:v>15.084876543209877</c:v>
                </c:pt>
                <c:pt idx="26">
                  <c:v>6.1283764159163523</c:v>
                </c:pt>
                <c:pt idx="27">
                  <c:v>8.4292484766418418</c:v>
                </c:pt>
                <c:pt idx="28">
                  <c:v>31.377807576265504</c:v>
                </c:pt>
                <c:pt idx="29">
                  <c:v>57.811900191938584</c:v>
                </c:pt>
                <c:pt idx="30">
                  <c:v>31.115459882583167</c:v>
                </c:pt>
                <c:pt idx="31">
                  <c:v>31.941272430668842</c:v>
                </c:pt>
                <c:pt idx="32">
                  <c:v>36.660561660561655</c:v>
                </c:pt>
              </c:numCache>
            </c:numRef>
          </c:val>
          <c:extLst xmlns:c15="http://schemas.microsoft.com/office/drawing/2012/chart">
            <c:ext xmlns:c16="http://schemas.microsoft.com/office/drawing/2014/chart" uri="{C3380CC4-5D6E-409C-BE32-E72D297353CC}">
              <c16:uniqueId val="{00000002-A4B5-4491-A0D4-3B31A94A2BAA}"/>
            </c:ext>
          </c:extLst>
        </c:ser>
        <c:dLbls>
          <c:showLegendKey val="0"/>
          <c:showVal val="0"/>
          <c:showCatName val="0"/>
          <c:showSerName val="0"/>
          <c:showPercent val="0"/>
          <c:showBubbleSize val="0"/>
        </c:dLbls>
        <c:gapWidth val="219"/>
        <c:overlap val="-27"/>
        <c:axId val="131729664"/>
        <c:axId val="131743744"/>
        <c:extLst/>
      </c:barChart>
      <c:catAx>
        <c:axId val="131729664"/>
        <c:scaling>
          <c:orientation val="minMax"/>
        </c:scaling>
        <c:delete val="0"/>
        <c:axPos val="b"/>
        <c:majorGridlines>
          <c:spPr>
            <a:ln w="9525" cap="flat" cmpd="sng" algn="ctr">
              <a:no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1743744"/>
        <c:crosses val="autoZero"/>
        <c:auto val="1"/>
        <c:lblAlgn val="ctr"/>
        <c:lblOffset val="100"/>
        <c:noMultiLvlLbl val="0"/>
      </c:catAx>
      <c:valAx>
        <c:axId val="131743744"/>
        <c:scaling>
          <c:orientation val="minMax"/>
        </c:scaling>
        <c:delete val="0"/>
        <c:axPos val="l"/>
        <c:majorGridlines>
          <c:spPr>
            <a:ln w="9525" cap="flat" cmpd="sng" algn="ctr">
              <a:solidFill>
                <a:srgbClr val="5B9BD5"/>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Arial" panose="020B0604020202020204" pitchFamily="34" charset="0"/>
                <a:ea typeface="+mn-ea"/>
                <a:cs typeface="Arial" panose="020B0604020202020204" pitchFamily="34" charset="0"/>
              </a:defRPr>
            </a:pPr>
            <a:endParaRPr lang="sv-SE"/>
          </a:p>
        </c:txPr>
        <c:crossAx val="13172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4"/>
    </mc:Choice>
    <mc:Fallback>
      <c:style val="4"/>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r>
              <a:rPr lang="sv-SE" sz="2000">
                <a:latin typeface="Neue Haas Grotesk Display Pro" panose="020D0304030502050203" pitchFamily="34" charset="0"/>
              </a:rPr>
              <a:t>Nyregistrerade tunga lastbilar över (&gt;=) 16 ton</a:t>
            </a:r>
          </a:p>
          <a:p>
            <a:pPr>
              <a:defRPr sz="2000">
                <a:solidFill>
                  <a:srgbClr val="001489"/>
                </a:solidFill>
                <a:latin typeface="Neue Haas Grotesk Display Pro" panose="020D0304030502050203" pitchFamily="34" charset="0"/>
              </a:defRPr>
            </a:pPr>
            <a:r>
              <a:rPr lang="sv-SE" sz="2000">
                <a:latin typeface="Neue Haas Grotesk Display Pro" panose="020D0304030502050203" pitchFamily="34" charset="0"/>
              </a:rPr>
              <a:t>månadsvis 2021-2023</a:t>
            </a:r>
          </a:p>
        </c:rich>
      </c:tx>
      <c:layout>
        <c:manualLayout>
          <c:xMode val="edge"/>
          <c:yMode val="edge"/>
          <c:x val="0.22945554435000634"/>
          <c:y val="5.5144791666666665E-2"/>
        </c:manualLayout>
      </c:layout>
      <c:overlay val="0"/>
      <c:spPr>
        <a:noFill/>
        <a:ln>
          <a:noFill/>
        </a:ln>
        <a:effectLst/>
      </c:spPr>
      <c:txPr>
        <a:bodyPr rot="0" spcFirstLastPara="1" vertOverflow="ellipsis" vert="horz" wrap="square" anchor="t" anchorCtr="1"/>
        <a:lstStyle/>
        <a:p>
          <a:pPr>
            <a:defRPr sz="2000" b="0" i="0" u="none" strike="noStrike" kern="1200" spc="0" baseline="0">
              <a:solidFill>
                <a:srgbClr val="001489"/>
              </a:solidFill>
              <a:latin typeface="Neue Haas Grotesk Display Pro" panose="020D0304030502050203" pitchFamily="34" charset="0"/>
              <a:ea typeface="+mn-ea"/>
              <a:cs typeface="+mn-cs"/>
            </a:defRPr>
          </a:pPr>
          <a:endParaRPr lang="sv-SE"/>
        </a:p>
      </c:txPr>
    </c:title>
    <c:autoTitleDeleted val="0"/>
    <c:plotArea>
      <c:layout>
        <c:manualLayout>
          <c:layoutTarget val="inner"/>
          <c:xMode val="edge"/>
          <c:yMode val="edge"/>
          <c:x val="8.5863512978658463E-2"/>
          <c:y val="0.20461085702896714"/>
          <c:w val="0.88901519603960288"/>
          <c:h val="0.68624564733155746"/>
        </c:manualLayout>
      </c:layout>
      <c:barChart>
        <c:barDir val="col"/>
        <c:grouping val="clustered"/>
        <c:varyColors val="0"/>
        <c:ser>
          <c:idx val="0"/>
          <c:order val="0"/>
          <c:tx>
            <c:strRef>
              <c:f>'B.4 Tunga lastbilar'!$R$5</c:f>
              <c:strCache>
                <c:ptCount val="1"/>
                <c:pt idx="0">
                  <c:v>2021</c:v>
                </c:pt>
              </c:strCache>
            </c:strRef>
          </c:tx>
          <c:spPr>
            <a:solidFill>
              <a:srgbClr val="001489"/>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lastbilar'!$R$6:$R$17</c:f>
              <c:numCache>
                <c:formatCode>General</c:formatCode>
                <c:ptCount val="12"/>
                <c:pt idx="0">
                  <c:v>386</c:v>
                </c:pt>
                <c:pt idx="1">
                  <c:v>465</c:v>
                </c:pt>
                <c:pt idx="2">
                  <c:v>521</c:v>
                </c:pt>
                <c:pt idx="3">
                  <c:v>526</c:v>
                </c:pt>
                <c:pt idx="4">
                  <c:v>491</c:v>
                </c:pt>
                <c:pt idx="5">
                  <c:v>504</c:v>
                </c:pt>
                <c:pt idx="6">
                  <c:v>292</c:v>
                </c:pt>
                <c:pt idx="7">
                  <c:v>370</c:v>
                </c:pt>
                <c:pt idx="8">
                  <c:v>408</c:v>
                </c:pt>
                <c:pt idx="9">
                  <c:v>409</c:v>
                </c:pt>
                <c:pt idx="10">
                  <c:v>390</c:v>
                </c:pt>
                <c:pt idx="11">
                  <c:v>541</c:v>
                </c:pt>
              </c:numCache>
            </c:numRef>
          </c:val>
          <c:extLst xmlns:c15="http://schemas.microsoft.com/office/drawing/2012/chart">
            <c:ext xmlns:c16="http://schemas.microsoft.com/office/drawing/2014/chart" uri="{C3380CC4-5D6E-409C-BE32-E72D297353CC}">
              <c16:uniqueId val="{00000000-DF09-4D38-A2F5-42CB03C6031A}"/>
            </c:ext>
          </c:extLst>
        </c:ser>
        <c:ser>
          <c:idx val="1"/>
          <c:order val="1"/>
          <c:tx>
            <c:strRef>
              <c:f>'B.4 Tunga lastbilar'!$S$5</c:f>
              <c:strCache>
                <c:ptCount val="1"/>
                <c:pt idx="0">
                  <c:v>2022</c:v>
                </c:pt>
              </c:strCache>
            </c:strRef>
          </c:tx>
          <c:spPr>
            <a:solidFill>
              <a:srgbClr val="FFC658"/>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lastbilar'!$S$6:$S$17</c:f>
              <c:numCache>
                <c:formatCode>General</c:formatCode>
                <c:ptCount val="12"/>
                <c:pt idx="0">
                  <c:v>289</c:v>
                </c:pt>
                <c:pt idx="1">
                  <c:v>356</c:v>
                </c:pt>
                <c:pt idx="2">
                  <c:v>491</c:v>
                </c:pt>
                <c:pt idx="3">
                  <c:v>478</c:v>
                </c:pt>
                <c:pt idx="4">
                  <c:v>510</c:v>
                </c:pt>
                <c:pt idx="5">
                  <c:v>498</c:v>
                </c:pt>
                <c:pt idx="6">
                  <c:v>227</c:v>
                </c:pt>
                <c:pt idx="7">
                  <c:v>399</c:v>
                </c:pt>
                <c:pt idx="8">
                  <c:v>543</c:v>
                </c:pt>
                <c:pt idx="9">
                  <c:v>508</c:v>
                </c:pt>
                <c:pt idx="10">
                  <c:v>575</c:v>
                </c:pt>
                <c:pt idx="11">
                  <c:v>618</c:v>
                </c:pt>
              </c:numCache>
            </c:numRef>
          </c:val>
          <c:extLst>
            <c:ext xmlns:c16="http://schemas.microsoft.com/office/drawing/2014/chart" uri="{C3380CC4-5D6E-409C-BE32-E72D297353CC}">
              <c16:uniqueId val="{00000001-DF09-4D38-A2F5-42CB03C6031A}"/>
            </c:ext>
          </c:extLst>
        </c:ser>
        <c:ser>
          <c:idx val="2"/>
          <c:order val="2"/>
          <c:tx>
            <c:strRef>
              <c:f>'B.4 Tunga lastbilar'!$T$5</c:f>
              <c:strCache>
                <c:ptCount val="1"/>
                <c:pt idx="0">
                  <c:v>2023</c:v>
                </c:pt>
              </c:strCache>
            </c:strRef>
          </c:tx>
          <c:spPr>
            <a:solidFill>
              <a:srgbClr val="48D597"/>
            </a:solidFill>
            <a:ln>
              <a:noFill/>
            </a:ln>
            <a:effectLst/>
          </c:spPr>
          <c:invertIfNegative val="0"/>
          <c:cat>
            <c:strRef>
              <c:f>'B.4 Tunga lastbilar'!$Q$6:$Q$17</c:f>
              <c:strCache>
                <c:ptCount val="12"/>
                <c:pt idx="0">
                  <c:v>Jan</c:v>
                </c:pt>
                <c:pt idx="1">
                  <c:v>Feb</c:v>
                </c:pt>
                <c:pt idx="2">
                  <c:v>Mars</c:v>
                </c:pt>
                <c:pt idx="3">
                  <c:v>April</c:v>
                </c:pt>
                <c:pt idx="4">
                  <c:v>Maj</c:v>
                </c:pt>
                <c:pt idx="5">
                  <c:v>Juni</c:v>
                </c:pt>
                <c:pt idx="6">
                  <c:v>Juli</c:v>
                </c:pt>
                <c:pt idx="7">
                  <c:v>Aug</c:v>
                </c:pt>
                <c:pt idx="8">
                  <c:v>Sep</c:v>
                </c:pt>
                <c:pt idx="9">
                  <c:v>Okt</c:v>
                </c:pt>
                <c:pt idx="10">
                  <c:v>Nov</c:v>
                </c:pt>
                <c:pt idx="11">
                  <c:v>Dec</c:v>
                </c:pt>
              </c:strCache>
            </c:strRef>
          </c:cat>
          <c:val>
            <c:numRef>
              <c:f>'B.4 Tunga lastbilar'!$T$6:$T$17</c:f>
              <c:numCache>
                <c:formatCode>General</c:formatCode>
                <c:ptCount val="12"/>
                <c:pt idx="0">
                  <c:v>455</c:v>
                </c:pt>
                <c:pt idx="1">
                  <c:v>511</c:v>
                </c:pt>
                <c:pt idx="2">
                  <c:v>636</c:v>
                </c:pt>
                <c:pt idx="3">
                  <c:v>514</c:v>
                </c:pt>
                <c:pt idx="4">
                  <c:v>638</c:v>
                </c:pt>
                <c:pt idx="5">
                  <c:v>587</c:v>
                </c:pt>
                <c:pt idx="6">
                  <c:v>266</c:v>
                </c:pt>
                <c:pt idx="7">
                  <c:v>1563</c:v>
                </c:pt>
                <c:pt idx="8">
                  <c:v>215</c:v>
                </c:pt>
              </c:numCache>
            </c:numRef>
          </c:val>
          <c:extLst>
            <c:ext xmlns:c16="http://schemas.microsoft.com/office/drawing/2014/chart" uri="{C3380CC4-5D6E-409C-BE32-E72D297353CC}">
              <c16:uniqueId val="{00000002-DF09-4D38-A2F5-42CB03C6031A}"/>
            </c:ext>
          </c:extLst>
        </c:ser>
        <c:dLbls>
          <c:showLegendKey val="0"/>
          <c:showVal val="0"/>
          <c:showCatName val="0"/>
          <c:showSerName val="0"/>
          <c:showPercent val="0"/>
          <c:showBubbleSize val="0"/>
        </c:dLbls>
        <c:gapWidth val="219"/>
        <c:overlap val="-27"/>
        <c:axId val="132678016"/>
        <c:axId val="132679552"/>
        <c:extLst/>
      </c:barChart>
      <c:catAx>
        <c:axId val="13267801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679552"/>
        <c:crosses val="autoZero"/>
        <c:auto val="1"/>
        <c:lblAlgn val="ctr"/>
        <c:lblOffset val="100"/>
        <c:noMultiLvlLbl val="0"/>
      </c:catAx>
      <c:valAx>
        <c:axId val="1326795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1489"/>
                </a:solidFill>
                <a:latin typeface="NEUEHAASDISPLAY-THIN" panose="020D0304030502050203" pitchFamily="34" charset="77"/>
                <a:ea typeface="+mn-ea"/>
                <a:cs typeface="Arial" panose="020B0604020202020204" pitchFamily="34" charset="0"/>
              </a:defRPr>
            </a:pPr>
            <a:endParaRPr lang="sv-SE"/>
          </a:p>
        </c:txPr>
        <c:crossAx val="132678016"/>
        <c:crosses val="autoZero"/>
        <c:crossBetween val="between"/>
      </c:valAx>
      <c:spPr>
        <a:noFill/>
        <a:ln>
          <a:noFill/>
        </a:ln>
        <a:effectLst>
          <a:softEdge rad="228600"/>
        </a:effectLst>
      </c:spPr>
    </c:plotArea>
    <c:legend>
      <c:legendPos val="tr"/>
      <c:layout>
        <c:manualLayout>
          <c:xMode val="edge"/>
          <c:yMode val="edge"/>
          <c:x val="0.7438346697067808"/>
          <c:y val="0.21773663194444445"/>
          <c:w val="0.22963129251700684"/>
          <c:h val="5.4966404149679716E-2"/>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15355B"/>
              </a:solidFill>
              <a:latin typeface="NEUEHAASDISPLAY-THIN" panose="020D0304030502050203" pitchFamily="34" charset="77"/>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orientation="portrait"/>
  </c:printSettings>
  <c:userShapes r:id="rId4"/>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4">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8.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2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207819</xdr:colOff>
      <xdr:row>8</xdr:row>
      <xdr:rowOff>124688</xdr:rowOff>
    </xdr:from>
    <xdr:to>
      <xdr:col>9</xdr:col>
      <xdr:colOff>241069</xdr:colOff>
      <xdr:row>32</xdr:row>
      <xdr:rowOff>116378</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207819" y="1704106"/>
          <a:ext cx="5503025" cy="4264432"/>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274321</xdr:colOff>
      <xdr:row>1</xdr:row>
      <xdr:rowOff>66502</xdr:rowOff>
    </xdr:from>
    <xdr:to>
      <xdr:col>4</xdr:col>
      <xdr:colOff>332607</xdr:colOff>
      <xdr:row>4</xdr:row>
      <xdr:rowOff>49904</xdr:rowOff>
    </xdr:to>
    <xdr:pic>
      <xdr:nvPicPr>
        <xdr:cNvPr id="8" name="Bildobjekt 4">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4321" y="257695"/>
          <a:ext cx="2020090" cy="5569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absolute">
    <xdr:from>
      <xdr:col>7</xdr:col>
      <xdr:colOff>24937</xdr:colOff>
      <xdr:row>33</xdr:row>
      <xdr:rowOff>83128</xdr:rowOff>
    </xdr:from>
    <xdr:to>
      <xdr:col>13</xdr:col>
      <xdr:colOff>1905</xdr:colOff>
      <xdr:row>36</xdr:row>
      <xdr:rowOff>74815</xdr:rowOff>
    </xdr:to>
    <mc:AlternateContent xmlns:mc="http://schemas.openxmlformats.org/markup-compatibility/2006" xmlns:sle15="http://schemas.microsoft.com/office/drawing/2012/slicer">
      <mc:Choice Requires="sle15">
        <xdr:graphicFrame macro="">
          <xdr:nvGraphicFramePr>
            <xdr:cNvPr id="3" name="miljoklass">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miljoklass"/>
            </a:graphicData>
          </a:graphic>
        </xdr:graphicFrame>
      </mc:Choice>
      <mc:Fallback xmlns="">
        <xdr:sp macro="" textlink="">
          <xdr:nvSpPr>
            <xdr:cNvPr id="3" name="Rectangle 2"/>
            <xdr:cNvSpPr>
              <a:spLocks noTextEdit="1"/>
            </xdr:cNvSpPr>
          </xdr:nvSpPr>
          <xdr:spPr>
            <a:xfrm>
              <a:off x="5793970" y="6442364"/>
              <a:ext cx="3857106" cy="615142"/>
            </a:xfrm>
            <a:prstGeom prst="rect">
              <a:avLst/>
            </a:prstGeom>
            <a:solidFill>
              <a:prstClr val="white"/>
            </a:solidFill>
            <a:ln w="1">
              <a:solidFill>
                <a:prstClr val="green"/>
              </a:solidFill>
            </a:ln>
          </xdr:spPr>
          <xdr:txBody>
            <a:bodyPr vertOverflow="clip" horzOverflow="clip"/>
            <a:lstStyle/>
            <a:p>
              <a:r>
                <a:rPr lang="sv-SE"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11.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9"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10"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11"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0.01604</cdr:y>
    </cdr:from>
    <cdr:to>
      <cdr:x>0.15656</cdr:x>
      <cdr:y>0.07088</cdr:y>
    </cdr:to>
    <cdr:pic>
      <cdr:nvPicPr>
        <cdr:cNvPr id="7"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92364"/>
          <a:ext cx="1271909" cy="315899"/>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0.01892</cdr:y>
    </cdr:from>
    <cdr:to>
      <cdr:x>0.15751</cdr:x>
      <cdr:y>0.07377</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08989"/>
          <a:ext cx="1271909" cy="315899"/>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0.01236</cdr:x>
      <cdr:y>0.01459</cdr:y>
    </cdr:from>
    <cdr:to>
      <cdr:x>0.15656</cdr:x>
      <cdr:y>0.06944</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8989" y="84051"/>
          <a:ext cx="1271909" cy="315899"/>
        </a:xfrm>
        <a:prstGeom xmlns:a="http://schemas.openxmlformats.org/drawingml/2006/main" prst="rect">
          <a:avLst/>
        </a:prstGeom>
      </cdr:spPr>
    </cdr:pic>
  </cdr:relSizeAnchor>
</c:userShapes>
</file>

<file path=xl/drawings/drawing16.xml><?xml version="1.0" encoding="utf-8"?>
<xdr:wsDr xmlns:xdr="http://schemas.openxmlformats.org/drawingml/2006/spreadsheetDrawing" xmlns:a="http://schemas.openxmlformats.org/drawingml/2006/main">
  <xdr:twoCellAnchor editAs="oneCell">
    <xdr:from>
      <xdr:col>0</xdr:col>
      <xdr:colOff>0</xdr:colOff>
      <xdr:row>1</xdr:row>
      <xdr:rowOff>36253</xdr:rowOff>
    </xdr:from>
    <xdr:to>
      <xdr:col>1</xdr:col>
      <xdr:colOff>352660</xdr:colOff>
      <xdr:row>2</xdr:row>
      <xdr:rowOff>160959</xdr:rowOff>
    </xdr:to>
    <xdr:pic>
      <xdr:nvPicPr>
        <xdr:cNvPr id="6" name="Bildobjekt 6">
          <a:extLst>
            <a:ext uri="{FF2B5EF4-FFF2-40B4-BE49-F238E27FC236}">
              <a16:creationId xmlns:a16="http://schemas.microsoft.com/office/drawing/2014/main"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516053"/>
          <a:ext cx="1305160" cy="3152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124691</xdr:colOff>
      <xdr:row>0</xdr:row>
      <xdr:rowOff>116379</xdr:rowOff>
    </xdr:from>
    <xdr:to>
      <xdr:col>1</xdr:col>
      <xdr:colOff>124753</xdr:colOff>
      <xdr:row>2</xdr:row>
      <xdr:rowOff>16</xdr:rowOff>
    </xdr:to>
    <xdr:pic>
      <xdr:nvPicPr>
        <xdr:cNvPr id="3" name="Bildobjekt 3">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9"/>
          <a:ext cx="1271909" cy="315899"/>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149629</xdr:colOff>
      <xdr:row>0</xdr:row>
      <xdr:rowOff>124691</xdr:rowOff>
    </xdr:from>
    <xdr:to>
      <xdr:col>1</xdr:col>
      <xdr:colOff>2313</xdr:colOff>
      <xdr:row>2</xdr:row>
      <xdr:rowOff>8328</xdr:rowOff>
    </xdr:to>
    <xdr:pic>
      <xdr:nvPicPr>
        <xdr:cNvPr id="4" name="Bildobjekt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124691"/>
          <a:ext cx="1271909" cy="31589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absoluteAnchor>
    <xdr:pos x="0" y="1"/>
    <xdr:ext cx="8820000" cy="5580000"/>
    <xdr:graphicFrame macro="">
      <xdr:nvGraphicFramePr>
        <xdr:cNvPr id="2" name="Diagram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242858"/>
    <xdr:ext cx="8820000" cy="5580000"/>
    <xdr:graphicFrame macro="">
      <xdr:nvGraphicFramePr>
        <xdr:cNvPr id="3" name="Diagram 2">
          <a:extLst>
            <a:ext uri="{FF2B5EF4-FFF2-40B4-BE49-F238E27FC236}">
              <a16:creationId xmlns:a16="http://schemas.microsoft.com/office/drawing/2014/main" id="{00000000-0008-0000-0D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8313" y="16628"/>
    <xdr:ext cx="8803178" cy="5760000"/>
    <xdr:graphicFrame macro="">
      <xdr:nvGraphicFramePr>
        <xdr:cNvPr id="2" name="Diagram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192982"/>
    <xdr:ext cx="8811491" cy="5760000"/>
    <xdr:graphicFrame macro="">
      <xdr:nvGraphicFramePr>
        <xdr:cNvPr id="3" name="Diagram 2">
          <a:extLst>
            <a:ext uri="{FF2B5EF4-FFF2-40B4-BE49-F238E27FC236}">
              <a16:creationId xmlns:a16="http://schemas.microsoft.com/office/drawing/2014/main" id="{00000000-0008-0000-01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0.01801</cdr:x>
      <cdr:y>0.01804</cdr:y>
    </cdr:from>
    <cdr:to>
      <cdr:x>0.16222</cdr:x>
      <cdr:y>0.07466</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58865" y="100676"/>
          <a:ext cx="1271909" cy="315899"/>
        </a:xfrm>
        <a:prstGeom xmlns:a="http://schemas.openxmlformats.org/drawingml/2006/main" prst="rect">
          <a:avLst/>
        </a:prstGeom>
      </cdr:spPr>
    </cdr:pic>
  </cdr:relSizeAnchor>
</c:userShapes>
</file>

<file path=xl/drawings/drawing21.xml><?xml version="1.0" encoding="utf-8"?>
<c:userShapes xmlns:c="http://schemas.openxmlformats.org/drawingml/2006/chart">
  <cdr:relSizeAnchor xmlns:cdr="http://schemas.openxmlformats.org/drawingml/2006/chartDrawing">
    <cdr:from>
      <cdr:x>0.10597</cdr:x>
      <cdr:y>0.17077</cdr:y>
    </cdr:from>
    <cdr:to>
      <cdr:x>0.1491</cdr:x>
      <cdr:y>0.23024</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17229" y="1072560"/>
          <a:ext cx="373299" cy="3735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0.00859</cdr:x>
      <cdr:y>0.02251</cdr:y>
    </cdr:from>
    <cdr:to>
      <cdr:x>0.15279</cdr:x>
      <cdr:y>0.07912</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75739" y="125614"/>
          <a:ext cx="1271909" cy="315899"/>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editAs="oneCell">
    <xdr:from>
      <xdr:col>0</xdr:col>
      <xdr:colOff>149630</xdr:colOff>
      <xdr:row>0</xdr:row>
      <xdr:rowOff>99753</xdr:rowOff>
    </xdr:from>
    <xdr:to>
      <xdr:col>1</xdr:col>
      <xdr:colOff>399074</xdr:colOff>
      <xdr:row>1</xdr:row>
      <xdr:rowOff>224459</xdr:rowOff>
    </xdr:to>
    <xdr:pic>
      <xdr:nvPicPr>
        <xdr:cNvPr id="3" name="Bildobjekt 3">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30" y="99753"/>
          <a:ext cx="1271909" cy="315899"/>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191193</xdr:colOff>
      <xdr:row>0</xdr:row>
      <xdr:rowOff>99753</xdr:rowOff>
    </xdr:from>
    <xdr:to>
      <xdr:col>1</xdr:col>
      <xdr:colOff>1172157</xdr:colOff>
      <xdr:row>1</xdr:row>
      <xdr:rowOff>224459</xdr:rowOff>
    </xdr:to>
    <xdr:pic>
      <xdr:nvPicPr>
        <xdr:cNvPr id="3" name="Bildobjekt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1193" y="99753"/>
          <a:ext cx="1271909" cy="31589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8820000" cy="5760000"/>
    <xdr:graphicFrame macro="">
      <xdr:nvGraphicFramePr>
        <xdr:cNvPr id="2" name="Diagram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0" y="6309360"/>
    <xdr:ext cx="8820000" cy="5760000"/>
    <xdr:graphicFrame macro="">
      <xdr:nvGraphicFramePr>
        <xdr:cNvPr id="3" name="Diagram 2">
          <a:extLst>
            <a:ext uri="{FF2B5EF4-FFF2-40B4-BE49-F238E27FC236}">
              <a16:creationId xmlns:a16="http://schemas.microsoft.com/office/drawing/2014/main" id="{00000000-0008-0000-1000-000003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6"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7"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0.01518</cdr:x>
      <cdr:y>0.01748</cdr:y>
    </cdr:from>
    <cdr:to>
      <cdr:x>0.15939</cdr:x>
      <cdr:y>0.07232</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33927" y="100677"/>
          <a:ext cx="1271909" cy="315899"/>
        </a:xfrm>
        <a:prstGeom xmlns:a="http://schemas.openxmlformats.org/drawingml/2006/main" prst="rect">
          <a:avLst/>
        </a:prstGeom>
      </cdr:spPr>
    </cdr:pic>
  </cdr:relSizeAnchor>
</c:userShapes>
</file>

<file path=xl/drawings/drawing26.xml><?xml version="1.0" encoding="utf-8"?>
<c:userShapes xmlns:c="http://schemas.openxmlformats.org/drawingml/2006/chart">
  <cdr:relSizeAnchor xmlns:cdr="http://schemas.openxmlformats.org/drawingml/2006/chartDrawing">
    <cdr:from>
      <cdr:x>0.13739</cdr:x>
      <cdr:y>0.20051</cdr:y>
    </cdr:from>
    <cdr:to>
      <cdr:x>0.18052</cdr:x>
      <cdr:y>0.25998</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1189162" y="1259352"/>
          <a:ext cx="373299" cy="3735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0.11029</cdr:x>
      <cdr:y>0.17672</cdr:y>
    </cdr:from>
    <cdr:to>
      <cdr:x>0.15342</cdr:x>
      <cdr:y>0.23619</cdr:y>
    </cdr:to>
    <cdr:sp macro="" textlink="">
      <cdr:nvSpPr>
        <cdr:cNvPr id="6"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7"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8"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9"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0.0133</cdr:x>
      <cdr:y>0.02325</cdr:y>
    </cdr:from>
    <cdr:to>
      <cdr:x>0.15751</cdr:x>
      <cdr:y>0.07809</cdr:y>
    </cdr:to>
    <cdr:pic>
      <cdr:nvPicPr>
        <cdr:cNvPr id="11"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17302" y="133927"/>
          <a:ext cx="1271909" cy="315899"/>
        </a:xfrm>
        <a:prstGeom xmlns:a="http://schemas.openxmlformats.org/drawingml/2006/main" prst="rect">
          <a:avLst/>
        </a:prstGeom>
      </cdr:spPr>
    </cdr:pic>
  </cdr:relSizeAnchor>
</c:userShapes>
</file>

<file path=xl/drawings/drawing27.xml><?xml version="1.0" encoding="utf-8"?>
<xdr:wsDr xmlns:xdr="http://schemas.openxmlformats.org/drawingml/2006/spreadsheetDrawing" xmlns:a="http://schemas.openxmlformats.org/drawingml/2006/main">
  <xdr:twoCellAnchor editAs="oneCell">
    <xdr:from>
      <xdr:col>0</xdr:col>
      <xdr:colOff>124691</xdr:colOff>
      <xdr:row>0</xdr:row>
      <xdr:rowOff>116378</xdr:rowOff>
    </xdr:from>
    <xdr:to>
      <xdr:col>0</xdr:col>
      <xdr:colOff>1396600</xdr:colOff>
      <xdr:row>2</xdr:row>
      <xdr:rowOff>15</xdr:rowOff>
    </xdr:to>
    <xdr:pic>
      <xdr:nvPicPr>
        <xdr:cNvPr id="4" name="Bildobjekt 3">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4691" y="116378"/>
          <a:ext cx="1271909" cy="3158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174568</xdr:colOff>
      <xdr:row>0</xdr:row>
      <xdr:rowOff>108066</xdr:rowOff>
    </xdr:from>
    <xdr:to>
      <xdr:col>1</xdr:col>
      <xdr:colOff>74877</xdr:colOff>
      <xdr:row>1</xdr:row>
      <xdr:rowOff>232772</xdr:rowOff>
    </xdr:to>
    <xdr:pic>
      <xdr:nvPicPr>
        <xdr:cNvPr id="3" name="Bildobjekt 3">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568" y="108066"/>
          <a:ext cx="1271909" cy="31589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149629</xdr:colOff>
      <xdr:row>0</xdr:row>
      <xdr:rowOff>99753</xdr:rowOff>
    </xdr:from>
    <xdr:to>
      <xdr:col>1</xdr:col>
      <xdr:colOff>274382</xdr:colOff>
      <xdr:row>1</xdr:row>
      <xdr:rowOff>224459</xdr:rowOff>
    </xdr:to>
    <xdr:pic>
      <xdr:nvPicPr>
        <xdr:cNvPr id="3" name="Bildobjekt 3">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29" y="99753"/>
          <a:ext cx="1271909" cy="315899"/>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cdr:x>
      <cdr:y>0.97495</cdr:y>
    </cdr:from>
    <cdr:to>
      <cdr:x>1</cdr:x>
      <cdr:y>0.99922</cdr:y>
    </cdr:to>
    <cdr:sp macro="" textlink="">
      <cdr:nvSpPr>
        <cdr:cNvPr id="2"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0.97495</cdr:y>
    </cdr:from>
    <cdr:to>
      <cdr:x>1</cdr:x>
      <cdr:y>0.99922</cdr:y>
    </cdr:to>
    <cdr:sp macro="" textlink="">
      <cdr:nvSpPr>
        <cdr:cNvPr id="5" name="Rektangel 1">
          <a:extLst xmlns:a="http://schemas.openxmlformats.org/drawingml/2006/main">
            <a:ext uri="{FF2B5EF4-FFF2-40B4-BE49-F238E27FC236}">
              <a16:creationId xmlns:a16="http://schemas.microsoft.com/office/drawing/2014/main" id="{44EFB81F-5ED4-4A0F-8E31-9B04603D1722}"/>
            </a:ext>
          </a:extLst>
        </cdr:cNvPr>
        <cdr:cNvSpPr/>
      </cdr:nvSpPr>
      <cdr:spPr>
        <a:xfrm xmlns:a="http://schemas.openxmlformats.org/drawingml/2006/main">
          <a:off x="0" y="6123321"/>
          <a:ext cx="8660546" cy="15240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0.81586</cdr:x>
      <cdr:y>0.93505</cdr:y>
    </cdr:from>
    <cdr:to>
      <cdr:x>0.98489</cdr:x>
      <cdr:y>0.98425</cdr:y>
    </cdr:to>
    <cdr:sp macro="" textlink="">
      <cdr:nvSpPr>
        <cdr:cNvPr id="6" name="textruta 2">
          <a:extLst xmlns:a="http://schemas.openxmlformats.org/drawingml/2006/main">
            <a:ext uri="{FF2B5EF4-FFF2-40B4-BE49-F238E27FC236}">
              <a16:creationId xmlns:a16="http://schemas.microsoft.com/office/drawing/2014/main" id="{31166116-8322-43D8-A3E8-026FA16C22D2}"/>
            </a:ext>
          </a:extLst>
        </cdr:cNvPr>
        <cdr:cNvSpPr txBox="1"/>
      </cdr:nvSpPr>
      <cdr:spPr>
        <a:xfrm xmlns:a="http://schemas.openxmlformats.org/drawingml/2006/main">
          <a:off x="7182197" y="5385865"/>
          <a:ext cx="1487978" cy="2834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0.00577</cdr:x>
      <cdr:y>0.01892</cdr:y>
    </cdr:from>
    <cdr:to>
      <cdr:x>0.15004</cdr:x>
      <cdr:y>0.07404</cdr:y>
    </cdr:to>
    <cdr:pic>
      <cdr:nvPicPr>
        <cdr:cNvPr id="9" name="Bildobjekt 4">
          <a:extLst xmlns:a="http://schemas.openxmlformats.org/drawingml/2006/main">
            <a:ext uri="{FF2B5EF4-FFF2-40B4-BE49-F238E27FC236}">
              <a16:creationId xmlns:a16="http://schemas.microsoft.com/office/drawing/2014/main" id="{60A45FE9-AEEC-D345-893C-DD1DE8D690E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108989"/>
          <a:ext cx="1270035" cy="317491"/>
        </a:xfrm>
        <a:prstGeom xmlns:a="http://schemas.openxmlformats.org/drawingml/2006/main" prst="rect">
          <a:avLst/>
        </a:prstGeom>
      </cdr:spPr>
    </cdr:pic>
  </cdr:relSizeAnchor>
</c:userShapes>
</file>

<file path=xl/drawings/drawing30.xml><?xml version="1.0" encoding="utf-8"?>
<xdr:wsDr xmlns:xdr="http://schemas.openxmlformats.org/drawingml/2006/spreadsheetDrawing" xmlns:a="http://schemas.openxmlformats.org/drawingml/2006/main">
  <xdr:twoCellAnchor editAs="oneCell">
    <xdr:from>
      <xdr:col>0</xdr:col>
      <xdr:colOff>157942</xdr:colOff>
      <xdr:row>0</xdr:row>
      <xdr:rowOff>116379</xdr:rowOff>
    </xdr:from>
    <xdr:to>
      <xdr:col>2</xdr:col>
      <xdr:colOff>224506</xdr:colOff>
      <xdr:row>2</xdr:row>
      <xdr:rowOff>16</xdr:rowOff>
    </xdr:to>
    <xdr:pic>
      <xdr:nvPicPr>
        <xdr:cNvPr id="3" name="Bildobjekt 3">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942" y="116379"/>
          <a:ext cx="1271909" cy="315899"/>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0.11029</cdr:x>
      <cdr:y>0.17672</cdr:y>
    </cdr:from>
    <cdr:to>
      <cdr:x>0.15342</cdr:x>
      <cdr:y>0.23619</cdr:y>
    </cdr:to>
    <cdr:sp macro="" textlink="">
      <cdr:nvSpPr>
        <cdr:cNvPr id="2" name="textruta 1">
          <a:extLst xmlns:a="http://schemas.openxmlformats.org/drawingml/2006/main">
            <a:ext uri="{FF2B5EF4-FFF2-40B4-BE49-F238E27FC236}">
              <a16:creationId xmlns:a16="http://schemas.microsoft.com/office/drawing/2014/main" id="{4BC793B7-589B-4F87-8283-9511CBAA5CFF}"/>
            </a:ext>
          </a:extLst>
        </cdr:cNvPr>
        <cdr:cNvSpPr txBox="1"/>
      </cdr:nvSpPr>
      <cdr:spPr>
        <a:xfrm xmlns:a="http://schemas.openxmlformats.org/drawingml/2006/main">
          <a:off x="955168" y="1109915"/>
          <a:ext cx="373529" cy="3735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sz="1100">
            <a:solidFill>
              <a:srgbClr val="15355B"/>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0.97575</cdr:y>
    </cdr:from>
    <cdr:to>
      <cdr:x>1</cdr:x>
      <cdr:y>1</cdr:y>
    </cdr:to>
    <cdr:sp macro="" textlink="">
      <cdr:nvSpPr>
        <cdr:cNvPr id="3" name="Rektangel 2">
          <a:extLst xmlns:a="http://schemas.openxmlformats.org/drawingml/2006/main">
            <a:ext uri="{FF2B5EF4-FFF2-40B4-BE49-F238E27FC236}">
              <a16:creationId xmlns:a16="http://schemas.microsoft.com/office/drawing/2014/main" id="{15BBABEB-F1EA-4198-8EAA-50C47C69C4A6}"/>
            </a:ext>
          </a:extLst>
        </cdr:cNvPr>
        <cdr:cNvSpPr/>
      </cdr:nvSpPr>
      <cdr:spPr>
        <a:xfrm xmlns:a="http://schemas.openxmlformats.org/drawingml/2006/main">
          <a:off x="0" y="6128341"/>
          <a:ext cx="8655210" cy="152289"/>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p>
      </cdr:txBody>
    </cdr:sp>
  </cdr:relSizeAnchor>
  <cdr:relSizeAnchor xmlns:cdr="http://schemas.openxmlformats.org/drawingml/2006/chartDrawing">
    <cdr:from>
      <cdr:x>0</cdr:x>
      <cdr:y>0.97573</cdr:y>
    </cdr:from>
    <cdr:to>
      <cdr:x>0.99938</cdr:x>
      <cdr:y>1</cdr:y>
    </cdr:to>
    <cdr:sp macro="" textlink="">
      <cdr:nvSpPr>
        <cdr:cNvPr id="6" name="Rektangel 1">
          <a:extLst xmlns:a="http://schemas.openxmlformats.org/drawingml/2006/main">
            <a:ext uri="{FF2B5EF4-FFF2-40B4-BE49-F238E27FC236}">
              <a16:creationId xmlns:a16="http://schemas.microsoft.com/office/drawing/2014/main" id="{B5E859CE-E83D-4447-BDFB-BE9DD02E6659}"/>
            </a:ext>
          </a:extLst>
        </cdr:cNvPr>
        <cdr:cNvSpPr/>
      </cdr:nvSpPr>
      <cdr:spPr>
        <a:xfrm xmlns:a="http://schemas.openxmlformats.org/drawingml/2006/main">
          <a:off x="0" y="6128199"/>
          <a:ext cx="8655210" cy="152431"/>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sv-SE">
            <a:solidFill>
              <a:srgbClr val="001489"/>
            </a:solidFill>
          </a:endParaRPr>
        </a:p>
      </cdr:txBody>
    </cdr:sp>
  </cdr:relSizeAnchor>
  <cdr:relSizeAnchor xmlns:cdr="http://schemas.openxmlformats.org/drawingml/2006/chartDrawing">
    <cdr:from>
      <cdr:x>0.80491</cdr:x>
      <cdr:y>0.93417</cdr:y>
    </cdr:from>
    <cdr:to>
      <cdr:x>1</cdr:x>
      <cdr:y>0.96899</cdr:y>
    </cdr:to>
    <cdr:sp macro="" textlink="">
      <cdr:nvSpPr>
        <cdr:cNvPr id="7" name="textruta 1">
          <a:extLst xmlns:a="http://schemas.openxmlformats.org/drawingml/2006/main">
            <a:ext uri="{FF2B5EF4-FFF2-40B4-BE49-F238E27FC236}">
              <a16:creationId xmlns:a16="http://schemas.microsoft.com/office/drawing/2014/main" id="{D7099E96-B8A8-4932-B885-C9E0AAA4620F}"/>
            </a:ext>
          </a:extLst>
        </cdr:cNvPr>
        <cdr:cNvSpPr txBox="1"/>
      </cdr:nvSpPr>
      <cdr:spPr>
        <a:xfrm xmlns:a="http://schemas.openxmlformats.org/drawingml/2006/main">
          <a:off x="7099300" y="5212669"/>
          <a:ext cx="1720700" cy="194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0.01048</cdr:x>
      <cdr:y>0.01604</cdr:y>
    </cdr:from>
    <cdr:to>
      <cdr:x>0.15483</cdr:x>
      <cdr:y>0.07088</cdr:y>
    </cdr:to>
    <cdr:pic>
      <cdr:nvPicPr>
        <cdr:cNvPr id="9"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92364" y="92364"/>
          <a:ext cx="1271909" cy="315899"/>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108065</xdr:colOff>
      <xdr:row>0</xdr:row>
      <xdr:rowOff>124691</xdr:rowOff>
    </xdr:from>
    <xdr:to>
      <xdr:col>1</xdr:col>
      <xdr:colOff>1080716</xdr:colOff>
      <xdr:row>2</xdr:row>
      <xdr:rowOff>8328</xdr:rowOff>
    </xdr:to>
    <xdr:pic>
      <xdr:nvPicPr>
        <xdr:cNvPr id="9" name="Bildobjekt 3">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65" y="124691"/>
          <a:ext cx="1271909" cy="3158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657919</xdr:colOff>
      <xdr:row>2</xdr:row>
      <xdr:rowOff>84340</xdr:rowOff>
    </xdr:from>
    <xdr:to>
      <xdr:col>14</xdr:col>
      <xdr:colOff>249383</xdr:colOff>
      <xdr:row>5</xdr:row>
      <xdr:rowOff>131965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182544" y="379615"/>
          <a:ext cx="839239"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a:t>          &gt; +20%</a:t>
          </a:r>
        </a:p>
        <a:p>
          <a:r>
            <a:rPr lang="sv-SE" sz="600"/>
            <a:t>          </a:t>
          </a:r>
        </a:p>
        <a:p>
          <a:r>
            <a:rPr lang="sv-SE" sz="600"/>
            <a:t>  </a:t>
          </a:r>
          <a:r>
            <a:rPr lang="sv-SE" sz="1100"/>
            <a:t>         &lt; -20%</a:t>
          </a:r>
        </a:p>
      </xdr:txBody>
    </xdr:sp>
    <xdr:clientData/>
  </xdr:twoCellAnchor>
  <xdr:twoCellAnchor>
    <xdr:from>
      <xdr:col>13</xdr:col>
      <xdr:colOff>125038</xdr:colOff>
      <xdr:row>4</xdr:row>
      <xdr:rowOff>45548</xdr:rowOff>
    </xdr:from>
    <xdr:to>
      <xdr:col>13</xdr:col>
      <xdr:colOff>269038</xdr:colOff>
      <xdr:row>5</xdr:row>
      <xdr:rowOff>74816</xdr:rowOff>
    </xdr:to>
    <xdr:sp macro="" textlink="">
      <xdr:nvSpPr>
        <xdr:cNvPr id="3" name="Up Arrow 2">
          <a:extLst>
            <a:ext uri="{FF2B5EF4-FFF2-40B4-BE49-F238E27FC236}">
              <a16:creationId xmlns:a16="http://schemas.microsoft.com/office/drawing/2014/main" id="{00000000-0008-0000-0300-000003000000}"/>
            </a:ext>
          </a:extLst>
        </xdr:cNvPr>
        <xdr:cNvSpPr/>
      </xdr:nvSpPr>
      <xdr:spPr>
        <a:xfrm rot="8100000">
          <a:off x="7306888" y="702773"/>
          <a:ext cx="144000" cy="191193"/>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13</xdr:col>
      <xdr:colOff>109626</xdr:colOff>
      <xdr:row>2</xdr:row>
      <xdr:rowOff>148589</xdr:rowOff>
    </xdr:from>
    <xdr:to>
      <xdr:col>13</xdr:col>
      <xdr:colOff>253626</xdr:colOff>
      <xdr:row>3</xdr:row>
      <xdr:rowOff>148589</xdr:rowOff>
    </xdr:to>
    <xdr:sp macro="" textlink="">
      <xdr:nvSpPr>
        <xdr:cNvPr id="4" name="Up Arrow 3">
          <a:extLst>
            <a:ext uri="{FF2B5EF4-FFF2-40B4-BE49-F238E27FC236}">
              <a16:creationId xmlns:a16="http://schemas.microsoft.com/office/drawing/2014/main" id="{00000000-0008-0000-0300-000004000000}"/>
            </a:ext>
          </a:extLst>
        </xdr:cNvPr>
        <xdr:cNvSpPr/>
      </xdr:nvSpPr>
      <xdr:spPr>
        <a:xfrm rot="2400000">
          <a:off x="7291476" y="443864"/>
          <a:ext cx="144000" cy="180975"/>
        </a:xfrm>
        <a:prstGeom prst="upArrow">
          <a:avLst/>
        </a:prstGeom>
        <a:solidFill>
          <a:schemeClr val="bg1">
            <a:lumMod val="65000"/>
          </a:schemeClr>
        </a:solidFill>
        <a:ln w="63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editAs="oneCell">
    <xdr:from>
      <xdr:col>0</xdr:col>
      <xdr:colOff>166255</xdr:colOff>
      <xdr:row>0</xdr:row>
      <xdr:rowOff>91438</xdr:rowOff>
    </xdr:from>
    <xdr:to>
      <xdr:col>1</xdr:col>
      <xdr:colOff>947713</xdr:colOff>
      <xdr:row>2</xdr:row>
      <xdr:rowOff>116392</xdr:rowOff>
    </xdr:to>
    <xdr:pic>
      <xdr:nvPicPr>
        <xdr:cNvPr id="5" name="Bildobjekt 3">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6255" y="91438"/>
          <a:ext cx="1219608" cy="3202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133004</xdr:colOff>
      <xdr:row>0</xdr:row>
      <xdr:rowOff>116378</xdr:rowOff>
    </xdr:from>
    <xdr:to>
      <xdr:col>0</xdr:col>
      <xdr:colOff>1404913</xdr:colOff>
      <xdr:row>2</xdr:row>
      <xdr:rowOff>15</xdr:rowOff>
    </xdr:to>
    <xdr:pic>
      <xdr:nvPicPr>
        <xdr:cNvPr id="5" name="Bildobjekt 3">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004" y="116378"/>
          <a:ext cx="1271909" cy="3158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absoluteAnchor>
    <xdr:pos x="0" y="4463934"/>
    <xdr:ext cx="8820000" cy="5760000"/>
    <xdr:graphicFrame macro="">
      <xdr:nvGraphicFramePr>
        <xdr:cNvPr id="2" name="Diagram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174567</xdr:colOff>
      <xdr:row>0</xdr:row>
      <xdr:rowOff>108066</xdr:rowOff>
    </xdr:from>
    <xdr:to>
      <xdr:col>1</xdr:col>
      <xdr:colOff>166316</xdr:colOff>
      <xdr:row>1</xdr:row>
      <xdr:rowOff>232772</xdr:rowOff>
    </xdr:to>
    <xdr:pic>
      <xdr:nvPicPr>
        <xdr:cNvPr id="5" name="Bildobjekt 3">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4567" y="108066"/>
          <a:ext cx="1271909" cy="315899"/>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cdr:x>
      <cdr:y>0.97285</cdr:y>
    </cdr:from>
    <cdr:to>
      <cdr:x>1</cdr:x>
      <cdr:y>1</cdr:y>
    </cdr:to>
    <cdr:sp macro="" textlink="">
      <cdr:nvSpPr>
        <cdr:cNvPr id="2"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461000"/>
          <a:ext cx="9207500" cy="152400"/>
        </a:xfrm>
        <a:prstGeom xmlns:a="http://schemas.openxmlformats.org/drawingml/2006/main" prst="rect">
          <a:avLst/>
        </a:prstGeom>
        <a:solidFill xmlns:a="http://schemas.openxmlformats.org/drawingml/2006/main">
          <a:srgbClr val="EA9843"/>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0.97285</cdr:y>
    </cdr:from>
    <cdr:to>
      <cdr:x>1</cdr:x>
      <cdr:y>1</cdr:y>
    </cdr:to>
    <cdr:sp macro="" textlink="">
      <cdr:nvSpPr>
        <cdr:cNvPr id="7" name="Rektangel 1">
          <a:extLst xmlns:a="http://schemas.openxmlformats.org/drawingml/2006/main">
            <a:ext uri="{FF2B5EF4-FFF2-40B4-BE49-F238E27FC236}">
              <a16:creationId xmlns:a16="http://schemas.microsoft.com/office/drawing/2014/main" id="{0E073061-B6B6-4C81-A720-0970182334CE}"/>
            </a:ext>
          </a:extLst>
        </cdr:cNvPr>
        <cdr:cNvSpPr/>
      </cdr:nvSpPr>
      <cdr:spPr>
        <a:xfrm xmlns:a="http://schemas.openxmlformats.org/drawingml/2006/main">
          <a:off x="0" y="5603616"/>
          <a:ext cx="8820000" cy="156384"/>
        </a:xfrm>
        <a:prstGeom xmlns:a="http://schemas.openxmlformats.org/drawingml/2006/main" prst="rect">
          <a:avLst/>
        </a:prstGeom>
        <a:solidFill xmlns:a="http://schemas.openxmlformats.org/drawingml/2006/main">
          <a:srgbClr val="B2B1B2"/>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sv-SE"/>
        </a:p>
      </cdr:txBody>
    </cdr:sp>
  </cdr:relSizeAnchor>
  <cdr:relSizeAnchor xmlns:cdr="http://schemas.openxmlformats.org/drawingml/2006/chartDrawing">
    <cdr:from>
      <cdr:x>0</cdr:x>
      <cdr:y>0.90135</cdr:y>
    </cdr:from>
    <cdr:to>
      <cdr:x>1</cdr:x>
      <cdr:y>0.95839</cdr:y>
    </cdr:to>
    <cdr:sp macro="" textlink="">
      <cdr:nvSpPr>
        <cdr:cNvPr id="8" name="textruta 2">
          <a:extLst xmlns:a="http://schemas.openxmlformats.org/drawingml/2006/main">
            <a:ext uri="{FF2B5EF4-FFF2-40B4-BE49-F238E27FC236}">
              <a16:creationId xmlns:a16="http://schemas.microsoft.com/office/drawing/2014/main" id="{FDABEC4B-7C6E-4EFB-A708-FA2866CECE5C}"/>
            </a:ext>
          </a:extLst>
        </cdr:cNvPr>
        <cdr:cNvSpPr txBox="1"/>
      </cdr:nvSpPr>
      <cdr:spPr>
        <a:xfrm xmlns:a="http://schemas.openxmlformats.org/drawingml/2006/main">
          <a:off x="0" y="5191776"/>
          <a:ext cx="8820000" cy="328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sv-SE" sz="1600" b="1" i="0">
              <a:solidFill>
                <a:srgbClr val="001489"/>
              </a:solidFill>
              <a:latin typeface="NEUEHAASDISPLAY-ROMAN" panose="020D0504030502050203" pitchFamily="34" charset="77"/>
              <a:cs typeface="Arial" panose="020B0604020202020204" pitchFamily="34" charset="0"/>
            </a:rPr>
            <a:t>Jan - sep  2023</a:t>
          </a:r>
        </a:p>
      </cdr:txBody>
    </cdr:sp>
  </cdr:relSizeAnchor>
  <cdr:relSizeAnchor xmlns:cdr="http://schemas.openxmlformats.org/drawingml/2006/chartDrawing">
    <cdr:from>
      <cdr:x>0.00054</cdr:x>
      <cdr:y>0.06046</cdr:y>
    </cdr:from>
    <cdr:to>
      <cdr:x>1</cdr:x>
      <cdr:y>0.13123</cdr:y>
    </cdr:to>
    <cdr:sp macro="" textlink="">
      <cdr:nvSpPr>
        <cdr:cNvPr id="9" name="textruta 3">
          <a:extLst xmlns:a="http://schemas.openxmlformats.org/drawingml/2006/main">
            <a:ext uri="{FF2B5EF4-FFF2-40B4-BE49-F238E27FC236}">
              <a16:creationId xmlns:a16="http://schemas.microsoft.com/office/drawing/2014/main" id="{A30402F3-B162-489E-A4C4-765CA0089DC4}"/>
            </a:ext>
          </a:extLst>
        </cdr:cNvPr>
        <cdr:cNvSpPr txBox="1"/>
      </cdr:nvSpPr>
      <cdr:spPr>
        <a:xfrm xmlns:a="http://schemas.openxmlformats.org/drawingml/2006/main">
          <a:off x="4763" y="348271"/>
          <a:ext cx="8815237" cy="4076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sv-SE" sz="2200" b="0" i="0" baseline="0">
              <a:solidFill>
                <a:srgbClr val="001489"/>
              </a:solidFill>
              <a:effectLst/>
              <a:latin typeface="NEUEHAASDISPLAY-ROMAN" panose="020D0504030502050203" pitchFamily="34" charset="77"/>
              <a:ea typeface="+mn-ea"/>
              <a:cs typeface="Arial" panose="020B0604020202020204" pitchFamily="34" charset="0"/>
            </a:rPr>
            <a:t>Nyregistrerade</a:t>
          </a:r>
          <a:r>
            <a:rPr lang="sv-SE" sz="2200" b="0" i="0" baseline="0">
              <a:solidFill>
                <a:srgbClr val="15355B"/>
              </a:solidFill>
              <a:effectLst/>
              <a:latin typeface="NEUEHAASDISPLAY-ROMAN" panose="020D0504030502050203" pitchFamily="34" charset="77"/>
              <a:ea typeface="+mn-ea"/>
              <a:cs typeface="Arial" panose="020B0604020202020204" pitchFamily="34" charset="0"/>
            </a:rPr>
            <a:t> </a:t>
          </a:r>
          <a:r>
            <a:rPr lang="sv-SE" sz="2200" b="0" i="0" baseline="0">
              <a:solidFill>
                <a:srgbClr val="001489"/>
              </a:solidFill>
              <a:effectLst/>
              <a:latin typeface="NEUEHAASDISPLAY-ROMAN" panose="020D0504030502050203" pitchFamily="34" charset="77"/>
              <a:ea typeface="+mn-ea"/>
              <a:cs typeface="Arial" panose="020B0604020202020204" pitchFamily="34" charset="0"/>
            </a:rPr>
            <a:t>personbilar per drivmedel</a:t>
          </a:r>
          <a:endParaRPr lang="sv-SE" sz="2200" b="0" i="0">
            <a:solidFill>
              <a:srgbClr val="001489"/>
            </a:solidFill>
            <a:effectLst/>
            <a:latin typeface="NEUEHAASDISPLAY-ROMAN" panose="020D0504030502050203" pitchFamily="34" charset="77"/>
            <a:cs typeface="Arial" panose="020B0604020202020204" pitchFamily="34" charset="0"/>
          </a:endParaRPr>
        </a:p>
        <a:p xmlns:a="http://schemas.openxmlformats.org/drawingml/2006/main">
          <a:endParaRPr lang="sv-SE" sz="2200"/>
        </a:p>
      </cdr:txBody>
    </cdr:sp>
  </cdr:relSizeAnchor>
  <cdr:relSizeAnchor xmlns:cdr="http://schemas.openxmlformats.org/drawingml/2006/chartDrawing">
    <cdr:from>
      <cdr:x>0.80059</cdr:x>
      <cdr:y>0.92743</cdr:y>
    </cdr:from>
    <cdr:to>
      <cdr:x>0.99728</cdr:x>
      <cdr:y>0.96761</cdr:y>
    </cdr:to>
    <cdr:sp macro="" textlink="">
      <cdr:nvSpPr>
        <cdr:cNvPr id="10" name="textruta 4">
          <a:extLst xmlns:a="http://schemas.openxmlformats.org/drawingml/2006/main">
            <a:ext uri="{FF2B5EF4-FFF2-40B4-BE49-F238E27FC236}">
              <a16:creationId xmlns:a16="http://schemas.microsoft.com/office/drawing/2014/main" id="{6F267308-ED93-46D2-8643-2F8534FFD984}"/>
            </a:ext>
          </a:extLst>
        </cdr:cNvPr>
        <cdr:cNvSpPr txBox="1"/>
      </cdr:nvSpPr>
      <cdr:spPr>
        <a:xfrm xmlns:a="http://schemas.openxmlformats.org/drawingml/2006/main">
          <a:off x="7061200" y="5341998"/>
          <a:ext cx="1734810" cy="231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100">
              <a:solidFill>
                <a:srgbClr val="001489"/>
              </a:solidFill>
              <a:latin typeface="Neue Haas Grotesk Text Pro" panose="020F0502020204030204" pitchFamily="34" charset="0"/>
              <a:cs typeface="Neue Haas Grotesk Text Pro" panose="020F0502020204030204" pitchFamily="34" charset="0"/>
            </a:rPr>
            <a:t>Källa: Mobility Sweden</a:t>
          </a:r>
        </a:p>
      </cdr:txBody>
    </cdr:sp>
  </cdr:relSizeAnchor>
  <cdr:relSizeAnchor xmlns:cdr="http://schemas.openxmlformats.org/drawingml/2006/chartDrawing">
    <cdr:from>
      <cdr:x>0.00576</cdr:x>
      <cdr:y>0.00882</cdr:y>
    </cdr:from>
    <cdr:to>
      <cdr:x>0.14997</cdr:x>
      <cdr:y>0.06366</cdr:y>
    </cdr:to>
    <cdr:pic>
      <cdr:nvPicPr>
        <cdr:cNvPr id="12" name="Bildobjekt 3">
          <a:extLst xmlns:a="http://schemas.openxmlformats.org/drawingml/2006/main">
            <a:ext uri="{FF2B5EF4-FFF2-40B4-BE49-F238E27FC236}">
              <a16:creationId xmlns:a16="http://schemas.microsoft.com/office/drawing/2014/main" id="{65998137-187F-6C49-B309-25A75F9DD2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1271909" cy="31589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201.600351388886" createdVersion="6" refreshedVersion="4" minRefreshableVersion="3" recordCount="4" xr:uid="{00000000-000A-0000-FFFF-FFFF04000000}">
  <cacheSource type="external" connectionId="7"/>
  <cacheFields count="11">
    <cacheField name="klass" numFmtId="0">
      <sharedItems count="6">
        <s v="Högst (&lt;=)  3,5 ton"/>
        <s v="3,5 -  6,0 ton"/>
        <s v="6,0 - 16,0 ton"/>
        <s v="Över (&gt;=)  16,0 ton"/>
        <s v="Högst  3,5 ton" u="1"/>
        <s v="Över  16,0 ton" u="1"/>
      </sharedItems>
    </cacheField>
    <cacheField name="antalPerioden" numFmtId="0">
      <sharedItems containsSemiMixedTypes="0" containsString="0" containsNumber="1" containsInteger="1" minValue="7" maxValue="4477" count="4">
        <n v="4477"/>
        <n v="17"/>
        <n v="7"/>
        <n v="215"/>
      </sharedItems>
    </cacheField>
    <cacheField name="antalPeriodenFG" numFmtId="0">
      <sharedItems containsSemiMixedTypes="0" containsString="0" containsNumber="1" containsInteger="1" minValue="12" maxValue="3276" count="4">
        <n v="3276"/>
        <n v="12"/>
        <n v="45"/>
        <n v="543"/>
      </sharedItems>
    </cacheField>
    <cacheField name="antalAret" numFmtId="0">
      <sharedItems containsSemiMixedTypes="0" containsString="0" containsNumber="1" containsInteger="1" minValue="184" maxValue="30757" count="4">
        <n v="30757"/>
        <n v="184"/>
        <n v="244"/>
        <n v="5385"/>
      </sharedItems>
    </cacheField>
    <cacheField name="antalAretFG" numFmtId="0">
      <sharedItems containsSemiMixedTypes="0" containsString="0" containsNumber="1" containsInteger="1" minValue="147" maxValue="24525" count="4">
        <n v="24525"/>
        <n v="147"/>
        <n v="236"/>
        <n v="3791"/>
      </sharedItems>
    </cacheField>
    <cacheField name="chgPerioden" numFmtId="0">
      <sharedItems containsSemiMixedTypes="0" containsString="0" containsNumber="1" minValue="-84.4" maxValue="41.7" count="4">
        <n v="36.700000000000003"/>
        <n v="41.7"/>
        <n v="-84.4"/>
        <n v="-60.4"/>
      </sharedItems>
    </cacheField>
    <cacheField name="chgAret" numFmtId="0">
      <sharedItems containsSemiMixedTypes="0" containsString="0" containsNumber="1" minValue="3.4" maxValue="42" count="4">
        <n v="25.4"/>
        <n v="25.2"/>
        <n v="3.4"/>
        <n v="42"/>
      </sharedItems>
    </cacheField>
    <cacheField name="cghPer" numFmtId="0" formula="IF(antalPeriodenFG&gt; 0, ((antalPerioden-antalPeriodenFG) /antalPeriodenFG) * 100, 0)" databaseField="0"/>
    <cacheField name="cghAret" numFmtId="0" formula="IF(antalAretFG&gt; 0, ((antalAret-antalAretFG) /antalAretFG) * 100, 0)" databaseField="0"/>
    <cacheField name="calcChangePerioden" numFmtId="0" formula="IF(antalPeriodenFG&gt; 0, ((antalPerioden-antalPeriodenFG) /antalPeriodenFG) * 100, 0)" databaseField="0"/>
    <cacheField name="calcChangeAret" numFmtId="0" formula="IF(antalAretFG&gt; 0, ((antalAret-antalAretFG) /antalAretFG) * 100, 0)"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DUtility" refreshedDate="45201.60035173611" createdVersion="6" refreshedVersion="4" minRefreshableVersion="3" recordCount="16" xr:uid="{00000000-000A-0000-FFFF-FFFF06000000}">
  <cacheSource type="external" connectionId="16"/>
  <cacheFields count="15">
    <cacheField name="Fabrikat" numFmtId="0">
      <sharedItems count="12">
        <s v="GMC"/>
        <s v="Iveco"/>
        <s v="MAN"/>
        <s v="Mercedes"/>
        <s v="Setra"/>
        <s v="Scania"/>
        <s v="Volvo"/>
        <s v="Övriga"/>
        <s v="Totalt antal"/>
        <s v="Ford" u="1"/>
        <s v="Neoplan" u="1"/>
        <s v="BYD" u="1"/>
      </sharedItems>
    </cacheField>
    <cacheField name="År" numFmtId="0">
      <sharedItems containsSemiMixedTypes="0" containsString="0" containsNumber="1" containsInteger="1" minValue="2020" maxValue="2023" count="4">
        <n v="2022"/>
        <n v="2023"/>
        <n v="2020" u="1"/>
        <n v="2021" u="1"/>
      </sharedItems>
    </cacheField>
    <cacheField name="I År" numFmtId="0">
      <sharedItems containsSemiMixedTypes="0" containsString="0" containsNumber="1" containsInteger="1" minValue="1" maxValue="80" count="12">
        <n v="1"/>
        <n v="5"/>
        <n v="2"/>
        <n v="15"/>
        <n v="7"/>
        <n v="6"/>
        <n v="3"/>
        <n v="13"/>
        <n v="35"/>
        <n v="50"/>
        <n v="80"/>
        <n v="71"/>
      </sharedItems>
    </cacheField>
    <cacheField name="Jan" numFmtId="0">
      <sharedItems containsSemiMixedTypes="0" containsString="0" containsNumber="1" containsInteger="1" minValue="0" maxValue="7" count="6">
        <n v="0"/>
        <n v="1"/>
        <n v="2"/>
        <n v="5"/>
        <n v="4"/>
        <n v="7"/>
      </sharedItems>
    </cacheField>
    <cacheField name="Feb" numFmtId="0">
      <sharedItems containsSemiMixedTypes="0" containsString="0" containsNumber="1" containsInteger="1" minValue="0" maxValue="23" count="9">
        <n v="0"/>
        <n v="1"/>
        <n v="2"/>
        <n v="4"/>
        <n v="14"/>
        <n v="6"/>
        <n v="3"/>
        <n v="23"/>
        <n v="8"/>
      </sharedItems>
    </cacheField>
    <cacheField name="Mar" numFmtId="0">
      <sharedItems containsSemiMixedTypes="0" containsString="0" containsNumber="1" containsInteger="1" minValue="0" maxValue="10" count="7">
        <n v="0"/>
        <n v="2"/>
        <n v="3"/>
        <n v="1"/>
        <n v="5"/>
        <n v="10"/>
        <n v="6"/>
      </sharedItems>
    </cacheField>
    <cacheField name="Apr" numFmtId="0">
      <sharedItems containsSemiMixedTypes="0" containsString="0" containsNumber="1" containsInteger="1" minValue="0" maxValue="23" count="9">
        <n v="0"/>
        <n v="1"/>
        <n v="8"/>
        <n v="3"/>
        <n v="9"/>
        <n v="14"/>
        <n v="2"/>
        <n v="23"/>
        <n v="17"/>
      </sharedItems>
    </cacheField>
    <cacheField name="Maj" numFmtId="0">
      <sharedItems containsSemiMixedTypes="0" containsString="0" containsNumber="1" containsInteger="1" minValue="0" maxValue="13" count="6">
        <n v="1"/>
        <n v="0"/>
        <n v="3"/>
        <n v="8"/>
        <n v="2"/>
        <n v="13"/>
      </sharedItems>
    </cacheField>
    <cacheField name="Jun" numFmtId="0">
      <sharedItems containsSemiMixedTypes="0" containsString="0" containsNumber="1" containsInteger="1" minValue="0" maxValue="6" count="4">
        <n v="0"/>
        <n v="1"/>
        <n v="5"/>
        <n v="6"/>
      </sharedItems>
    </cacheField>
    <cacheField name="Jul" numFmtId="0">
      <sharedItems containsSemiMixedTypes="0" containsString="0" containsNumber="1" containsInteger="1" minValue="0" maxValue="4" count="5">
        <n v="0"/>
        <n v="3"/>
        <n v="1"/>
        <n v="2"/>
        <n v="4"/>
      </sharedItems>
    </cacheField>
    <cacheField name="Aug" numFmtId="0">
      <sharedItems containsSemiMixedTypes="0" containsString="0" containsNumber="1" containsInteger="1" minValue="0" maxValue="9" count="6">
        <n v="0"/>
        <n v="3"/>
        <n v="1"/>
        <n v="8"/>
        <n v="5"/>
        <n v="9"/>
      </sharedItems>
    </cacheField>
    <cacheField name="Sep" numFmtId="0">
      <sharedItems containsSemiMixedTypes="0" containsString="0" containsNumber="1" containsInteger="1" minValue="0" maxValue="3" count="4">
        <n v="0"/>
        <n v="1"/>
        <n v="3"/>
        <n v="2"/>
      </sharedItems>
    </cacheField>
    <cacheField name="Okt" numFmtId="0">
      <sharedItems containsSemiMixedTypes="0" containsString="0" containsNumber="1" containsInteger="1" minValue="0" maxValue="7" count="4">
        <n v="0"/>
        <n v="3"/>
        <n v="1"/>
        <n v="7"/>
      </sharedItems>
    </cacheField>
    <cacheField name="Nov" numFmtId="0">
      <sharedItems containsSemiMixedTypes="0" containsString="0" containsNumber="1" containsInteger="1" minValue="0" maxValue="11" count="5">
        <n v="0"/>
        <n v="6"/>
        <n v="4"/>
        <n v="1"/>
        <n v="11"/>
      </sharedItems>
    </cacheField>
    <cacheField name="Dec" numFmtId="0">
      <sharedItems containsSemiMixedTypes="0" containsString="0" containsNumber="1" containsInteger="1" minValue="0" maxValue="14" count="5">
        <n v="0"/>
        <n v="5"/>
        <n v="8"/>
        <n v="1"/>
        <n v="1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DUtility" refreshedDate="45201.600366319442" createdVersion="6" refreshedVersion="4" minRefreshableVersion="3" recordCount="53" xr:uid="{00000000-000A-0000-FFFF-FFFF09000000}">
  <cacheSource type="external" connectionId="5"/>
  <cacheFields count="14">
    <cacheField name="gaNamn" numFmtId="0">
      <sharedItems count="38">
        <s v="Astara"/>
        <s v="BC Sweden"/>
        <s v="BMW Northern Europe"/>
        <s v="General Motors Mobility"/>
        <s v="Hedin Mobility Group"/>
        <s v="Honda Nordic"/>
        <s v="Hyundai Bilar Import"/>
        <s v="IM Nordic"/>
        <s v="Iveco"/>
        <s v="KIA Motors Sweden"/>
        <s v="KW Bruun Autoimport"/>
        <s v="KW Bruun MMC"/>
        <s v="LEVC"/>
        <s v="Louwman Sverige"/>
        <s v="Lynk &amp; Co"/>
        <s v="Mazda Motor Sverige"/>
        <s v="Mercedes-Benz Sverige"/>
        <s v="Nio Nextev Sweden"/>
        <s v="Nissan Nordic"/>
        <s v="Polestar Automotive"/>
        <s v="RSA Sverige"/>
        <s v="TM Sweden"/>
        <s v="Toyota Sweden"/>
        <s v="Volkswagen Group Sverige"/>
        <s v="Volvo Car Sverige"/>
        <s v="XPENG MOTORS"/>
        <s v="ÖVRIGA FABRIKAT"/>
        <s v="Bergé Auto" u="1"/>
        <s v="Subaru Nordic" u="1"/>
        <s v="SC Motors Sweden" u="1"/>
        <s v="NEVS" u="1"/>
        <s v="Tesla" u="1"/>
        <s v="RN Nordic" u="1"/>
        <s v="Hedin Electric Mobility" u="1"/>
        <s v="Hedin MG Sweden" u="1"/>
        <s v="Hedin Motor Company" u="1"/>
        <s v="FCA Sweden" u="1"/>
        <s v="Renault Nordic Sverige" u="1"/>
      </sharedItems>
    </cacheField>
    <cacheField name="modell" numFmtId="0">
      <sharedItems count="55">
        <s v="Alfa Romeo"/>
        <s v="Fiat"/>
        <s v="Jeep"/>
        <s v="Jaguar"/>
        <s v="Land Rover"/>
        <s v="BMW"/>
        <s v="Mini"/>
        <s v="Cadillac"/>
        <s v="Alpine"/>
        <s v="BYD"/>
        <s v="Dacia"/>
        <s v="Ford"/>
        <s v="Hongqi"/>
        <s v="Ineos"/>
        <s v="MG"/>
        <s v="Renault"/>
        <s v="Honda"/>
        <s v="Hyundai"/>
        <s v="ORA"/>
        <s v="Subaru"/>
        <s v="Iveco"/>
        <s v="Kia"/>
        <s v="Citroen"/>
        <s v="DS"/>
        <s v="Opel"/>
        <s v="Peugeot"/>
        <s v="Mitsubishi"/>
        <s v="LEVC"/>
        <s v="Suzuki"/>
        <s v="Lynk &amp; Co"/>
        <s v="Mazda"/>
        <s v="Mercedes"/>
        <s v="Mercedes AMG"/>
        <s v="Smart"/>
        <s v="Nio"/>
        <s v="Nissan"/>
        <s v="Polestar"/>
        <s v="JAC"/>
        <s v="Maxus"/>
        <s v="Tesla"/>
        <s v="Lexus"/>
        <s v="Toyota"/>
        <s v="Audi"/>
        <s v="CUPRA"/>
        <s v="Porsche"/>
        <s v="Seat"/>
        <s v="Skoda"/>
        <s v="Volkswagen"/>
        <s v="Volvo"/>
        <s v="Xpeng"/>
        <s v="MAN"/>
        <s v="Övriga"/>
        <s v="NEVS" u="1"/>
        <s v="SsangYong" u="1"/>
        <s v="Polestar 2" u="1"/>
      </sharedItems>
    </cacheField>
    <cacheField name="antalPerioden" numFmtId="0">
      <sharedItems containsSemiMixedTypes="0" containsString="0" containsNumber="1" containsInteger="1" minValue="0" maxValue="3340"/>
    </cacheField>
    <cacheField name="antalFGPeriod" numFmtId="0">
      <sharedItems containsSemiMixedTypes="0" containsString="0" containsNumber="1" containsInteger="1" minValue="0" maxValue="2717"/>
    </cacheField>
    <cacheField name="antalÅret" numFmtId="0">
      <sharedItems containsSemiMixedTypes="0" containsString="0" containsNumber="1" containsInteger="1" minValue="0" maxValue="27479"/>
    </cacheField>
    <cacheField name="antalFGAr" numFmtId="0">
      <sharedItems containsSemiMixedTypes="0" containsString="0" containsNumber="1" containsInteger="1" minValue="0" maxValue="28181"/>
    </cacheField>
    <cacheField name="changePeriod" numFmtId="0">
      <sharedItems containsSemiMixedTypes="0" containsString="0" containsNumber="1" minValue="-75.34" maxValue="245.79"/>
    </cacheField>
    <cacheField name="changeAret" numFmtId="0">
      <sharedItems containsSemiMixedTypes="0" containsString="0" containsNumber="1" minValue="-100" maxValue="690"/>
    </cacheField>
    <cacheField name="shrPeriod" numFmtId="0">
      <sharedItems containsSemiMixedTypes="0" containsString="0" containsNumber="1" minValue="0" maxValue="11.87"/>
    </cacheField>
    <cacheField name="shrYear" numFmtId="0">
      <sharedItems containsSemiMixedTypes="0" containsString="0" containsNumber="1" minValue="0" maxValue="13.09"/>
    </cacheField>
    <cacheField name="shrPrevPeriod" numFmtId="0">
      <sharedItems containsSemiMixedTypes="0" containsString="0" containsNumber="1" minValue="0" maxValue="12.32"/>
    </cacheField>
    <cacheField name="shrPrevYear" numFmtId="0">
      <sharedItems containsSemiMixedTypes="0" containsString="0" containsNumber="1" minValue="0" maxValue="13.77"/>
    </cacheField>
    <cacheField name="chgAret" numFmtId="0" formula="IF(antalFGAr&gt; 0, (((antalÅret-antalFGAr) /antalFGAr) *100), 0)" databaseField="0"/>
    <cacheField name="chgPeriod" numFmtId="0" formula="IF(antalFGPeriod&gt; 0, ((antalPerioden-antalFGPeriod) /antalFGPeriod) * 100, 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x v="0"/>
    <x v="0"/>
    <x v="0"/>
    <x v="0"/>
    <x v="0"/>
    <x v="0"/>
    <x v="0"/>
  </r>
  <r>
    <x v="1"/>
    <x v="1"/>
    <x v="1"/>
    <x v="1"/>
    <x v="1"/>
    <x v="1"/>
    <x v="1"/>
  </r>
  <r>
    <x v="2"/>
    <x v="2"/>
    <x v="2"/>
    <x v="2"/>
    <x v="2"/>
    <x v="2"/>
    <x v="2"/>
  </r>
  <r>
    <x v="3"/>
    <x v="3"/>
    <x v="3"/>
    <x v="3"/>
    <x v="3"/>
    <x v="3"/>
    <x v="3"/>
  </r>
</pivotCacheRecords>
</file>

<file path=xl/pivotCache/pivotCacheRecords2.xml><?xml version="1.0" encoding="utf-8"?>
<pivotCacheRecords xmlns="http://schemas.openxmlformats.org/spreadsheetml/2006/main" xmlns:r="http://schemas.openxmlformats.org/officeDocument/2006/relationships" count="16">
  <r>
    <x v="0"/>
    <x v="0"/>
    <x v="0"/>
    <x v="0"/>
    <x v="0"/>
    <x v="0"/>
    <x v="0"/>
    <x v="0"/>
    <x v="0"/>
    <x v="0"/>
    <x v="0"/>
    <x v="0"/>
    <x v="0"/>
    <x v="0"/>
    <x v="0"/>
  </r>
  <r>
    <x v="1"/>
    <x v="1"/>
    <x v="1"/>
    <x v="0"/>
    <x v="0"/>
    <x v="0"/>
    <x v="0"/>
    <x v="0"/>
    <x v="0"/>
    <x v="0"/>
    <x v="1"/>
    <x v="1"/>
    <x v="0"/>
    <x v="0"/>
    <x v="0"/>
  </r>
  <r>
    <x v="1"/>
    <x v="0"/>
    <x v="2"/>
    <x v="0"/>
    <x v="1"/>
    <x v="0"/>
    <x v="1"/>
    <x v="1"/>
    <x v="0"/>
    <x v="0"/>
    <x v="0"/>
    <x v="0"/>
    <x v="0"/>
    <x v="0"/>
    <x v="0"/>
  </r>
  <r>
    <x v="2"/>
    <x v="0"/>
    <x v="0"/>
    <x v="0"/>
    <x v="0"/>
    <x v="0"/>
    <x v="0"/>
    <x v="1"/>
    <x v="0"/>
    <x v="0"/>
    <x v="0"/>
    <x v="1"/>
    <x v="0"/>
    <x v="0"/>
    <x v="0"/>
  </r>
  <r>
    <x v="3"/>
    <x v="1"/>
    <x v="3"/>
    <x v="0"/>
    <x v="2"/>
    <x v="0"/>
    <x v="2"/>
    <x v="0"/>
    <x v="0"/>
    <x v="1"/>
    <x v="0"/>
    <x v="1"/>
    <x v="0"/>
    <x v="0"/>
    <x v="0"/>
  </r>
  <r>
    <x v="3"/>
    <x v="0"/>
    <x v="4"/>
    <x v="1"/>
    <x v="0"/>
    <x v="1"/>
    <x v="1"/>
    <x v="0"/>
    <x v="1"/>
    <x v="2"/>
    <x v="0"/>
    <x v="0"/>
    <x v="1"/>
    <x v="0"/>
    <x v="0"/>
  </r>
  <r>
    <x v="4"/>
    <x v="1"/>
    <x v="5"/>
    <x v="0"/>
    <x v="0"/>
    <x v="2"/>
    <x v="3"/>
    <x v="1"/>
    <x v="0"/>
    <x v="0"/>
    <x v="0"/>
    <x v="0"/>
    <x v="0"/>
    <x v="0"/>
    <x v="0"/>
  </r>
  <r>
    <x v="4"/>
    <x v="0"/>
    <x v="6"/>
    <x v="1"/>
    <x v="0"/>
    <x v="0"/>
    <x v="0"/>
    <x v="0"/>
    <x v="0"/>
    <x v="0"/>
    <x v="0"/>
    <x v="1"/>
    <x v="0"/>
    <x v="0"/>
    <x v="0"/>
  </r>
  <r>
    <x v="5"/>
    <x v="1"/>
    <x v="7"/>
    <x v="2"/>
    <x v="3"/>
    <x v="3"/>
    <x v="1"/>
    <x v="2"/>
    <x v="1"/>
    <x v="0"/>
    <x v="2"/>
    <x v="0"/>
    <x v="0"/>
    <x v="0"/>
    <x v="0"/>
  </r>
  <r>
    <x v="5"/>
    <x v="0"/>
    <x v="0"/>
    <x v="0"/>
    <x v="0"/>
    <x v="0"/>
    <x v="1"/>
    <x v="1"/>
    <x v="0"/>
    <x v="0"/>
    <x v="0"/>
    <x v="0"/>
    <x v="0"/>
    <x v="1"/>
    <x v="1"/>
  </r>
  <r>
    <x v="6"/>
    <x v="1"/>
    <x v="8"/>
    <x v="3"/>
    <x v="4"/>
    <x v="4"/>
    <x v="4"/>
    <x v="2"/>
    <x v="0"/>
    <x v="2"/>
    <x v="2"/>
    <x v="1"/>
    <x v="0"/>
    <x v="0"/>
    <x v="0"/>
  </r>
  <r>
    <x v="6"/>
    <x v="0"/>
    <x v="9"/>
    <x v="4"/>
    <x v="5"/>
    <x v="2"/>
    <x v="5"/>
    <x v="3"/>
    <x v="2"/>
    <x v="3"/>
    <x v="3"/>
    <x v="0"/>
    <x v="1"/>
    <x v="2"/>
    <x v="2"/>
  </r>
  <r>
    <x v="7"/>
    <x v="1"/>
    <x v="5"/>
    <x v="0"/>
    <x v="6"/>
    <x v="3"/>
    <x v="6"/>
    <x v="1"/>
    <x v="0"/>
    <x v="0"/>
    <x v="0"/>
    <x v="0"/>
    <x v="0"/>
    <x v="0"/>
    <x v="0"/>
  </r>
  <r>
    <x v="7"/>
    <x v="0"/>
    <x v="5"/>
    <x v="1"/>
    <x v="1"/>
    <x v="3"/>
    <x v="0"/>
    <x v="4"/>
    <x v="0"/>
    <x v="0"/>
    <x v="2"/>
    <x v="0"/>
    <x v="2"/>
    <x v="3"/>
    <x v="3"/>
  </r>
  <r>
    <x v="8"/>
    <x v="1"/>
    <x v="10"/>
    <x v="5"/>
    <x v="7"/>
    <x v="5"/>
    <x v="7"/>
    <x v="3"/>
    <x v="1"/>
    <x v="4"/>
    <x v="4"/>
    <x v="2"/>
    <x v="0"/>
    <x v="0"/>
    <x v="0"/>
  </r>
  <r>
    <x v="8"/>
    <x v="0"/>
    <x v="11"/>
    <x v="5"/>
    <x v="8"/>
    <x v="6"/>
    <x v="8"/>
    <x v="5"/>
    <x v="3"/>
    <x v="1"/>
    <x v="5"/>
    <x v="3"/>
    <x v="3"/>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46"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I88" firstHeaderRow="0" firstDataRow="1" firstDataCol="1"/>
  <pivotFields count="14">
    <pivotField axis="axisRow" showAll="0" sortType="ascending">
      <items count="39">
        <item x="0"/>
        <item x="1"/>
        <item m="1" x="27"/>
        <item x="2"/>
        <item m="1" x="36"/>
        <item x="3"/>
        <item m="1" x="33"/>
        <item m="1" x="34"/>
        <item x="4"/>
        <item m="1" x="35"/>
        <item x="5"/>
        <item x="6"/>
        <item x="7"/>
        <item x="8"/>
        <item x="9"/>
        <item x="10"/>
        <item x="11"/>
        <item x="12"/>
        <item x="13"/>
        <item x="14"/>
        <item x="15"/>
        <item x="16"/>
        <item m="1" x="30"/>
        <item x="17"/>
        <item x="18"/>
        <item x="19"/>
        <item m="1" x="37"/>
        <item m="1" x="32"/>
        <item x="20"/>
        <item m="1" x="29"/>
        <item m="1" x="28"/>
        <item m="1" x="31"/>
        <item x="21"/>
        <item x="22"/>
        <item x="23"/>
        <item x="24"/>
        <item x="25"/>
        <item x="26"/>
        <item t="default"/>
      </items>
    </pivotField>
    <pivotField axis="axisRow" showAll="0">
      <items count="56">
        <item x="0"/>
        <item x="42"/>
        <item x="5"/>
        <item x="22"/>
        <item x="10"/>
        <item x="23"/>
        <item x="1"/>
        <item x="11"/>
        <item x="16"/>
        <item x="17"/>
        <item x="20"/>
        <item x="3"/>
        <item x="2"/>
        <item x="21"/>
        <item x="4"/>
        <item x="40"/>
        <item x="38"/>
        <item x="30"/>
        <item x="31"/>
        <item x="32"/>
        <item x="6"/>
        <item x="26"/>
        <item m="1" x="52"/>
        <item x="35"/>
        <item x="24"/>
        <item x="25"/>
        <item x="36"/>
        <item x="44"/>
        <item x="15"/>
        <item x="45"/>
        <item x="46"/>
        <item x="33"/>
        <item x="19"/>
        <item x="28"/>
        <item x="39"/>
        <item x="41"/>
        <item x="47"/>
        <item x="48"/>
        <item x="51"/>
        <item x="7"/>
        <item x="29"/>
        <item m="1" x="54"/>
        <item x="8"/>
        <item x="14"/>
        <item m="1" x="53"/>
        <item x="27"/>
        <item x="49"/>
        <item x="9"/>
        <item x="18"/>
        <item x="34"/>
        <item x="43"/>
        <item x="12"/>
        <item x="13"/>
        <item x="37"/>
        <item x="50"/>
        <item t="default"/>
      </items>
    </pivotField>
    <pivotField dataField="1" showAll="0"/>
    <pivotField dataField="1" showAll="0"/>
    <pivotField dataField="1" showAll="0"/>
    <pivotField dataField="1" showAll="0"/>
    <pivotField showAll="0"/>
    <pivotField showAll="0"/>
    <pivotField showAll="0"/>
    <pivotField dataField="1" showAll="0"/>
    <pivotField showAll="0"/>
    <pivotField dataField="1" showAll="0"/>
    <pivotField dataField="1" dragToRow="0" dragToCol="0" dragToPage="0" showAll="0" defaultSubtotal="0"/>
    <pivotField dataField="1" dragToRow="0" dragToCol="0" dragToPage="0" showAll="0" defaultSubtotal="0"/>
  </pivotFields>
  <rowFields count="2">
    <field x="0"/>
    <field x="1"/>
  </rowFields>
  <rowItems count="81">
    <i>
      <x/>
    </i>
    <i r="1">
      <x/>
    </i>
    <i r="1">
      <x v="6"/>
    </i>
    <i r="1">
      <x v="12"/>
    </i>
    <i>
      <x v="1"/>
    </i>
    <i r="1">
      <x v="11"/>
    </i>
    <i r="1">
      <x v="14"/>
    </i>
    <i>
      <x v="3"/>
    </i>
    <i r="1">
      <x v="2"/>
    </i>
    <i r="1">
      <x v="20"/>
    </i>
    <i>
      <x v="5"/>
    </i>
    <i r="1">
      <x v="39"/>
    </i>
    <i>
      <x v="8"/>
    </i>
    <i r="1">
      <x v="4"/>
    </i>
    <i r="1">
      <x v="7"/>
    </i>
    <i r="1">
      <x v="28"/>
    </i>
    <i r="1">
      <x v="42"/>
    </i>
    <i r="1">
      <x v="43"/>
    </i>
    <i r="1">
      <x v="47"/>
    </i>
    <i r="1">
      <x v="51"/>
    </i>
    <i r="1">
      <x v="52"/>
    </i>
    <i>
      <x v="10"/>
    </i>
    <i r="1">
      <x v="8"/>
    </i>
    <i>
      <x v="11"/>
    </i>
    <i r="1">
      <x v="9"/>
    </i>
    <i>
      <x v="12"/>
    </i>
    <i r="1">
      <x v="32"/>
    </i>
    <i r="1">
      <x v="48"/>
    </i>
    <i>
      <x v="13"/>
    </i>
    <i r="1">
      <x v="10"/>
    </i>
    <i>
      <x v="14"/>
    </i>
    <i r="1">
      <x v="13"/>
    </i>
    <i>
      <x v="15"/>
    </i>
    <i r="1">
      <x v="3"/>
    </i>
    <i r="1">
      <x v="5"/>
    </i>
    <i r="1">
      <x v="24"/>
    </i>
    <i r="1">
      <x v="25"/>
    </i>
    <i>
      <x v="16"/>
    </i>
    <i r="1">
      <x v="21"/>
    </i>
    <i>
      <x v="17"/>
    </i>
    <i r="1">
      <x v="45"/>
    </i>
    <i>
      <x v="18"/>
    </i>
    <i r="1">
      <x v="33"/>
    </i>
    <i>
      <x v="19"/>
    </i>
    <i r="1">
      <x v="40"/>
    </i>
    <i>
      <x v="20"/>
    </i>
    <i r="1">
      <x v="17"/>
    </i>
    <i>
      <x v="21"/>
    </i>
    <i r="1">
      <x v="18"/>
    </i>
    <i r="1">
      <x v="19"/>
    </i>
    <i r="1">
      <x v="31"/>
    </i>
    <i>
      <x v="23"/>
    </i>
    <i r="1">
      <x v="49"/>
    </i>
    <i>
      <x v="24"/>
    </i>
    <i r="1">
      <x v="23"/>
    </i>
    <i>
      <x v="25"/>
    </i>
    <i r="1">
      <x v="26"/>
    </i>
    <i>
      <x v="28"/>
    </i>
    <i r="1">
      <x v="16"/>
    </i>
    <i r="1">
      <x v="53"/>
    </i>
    <i>
      <x v="32"/>
    </i>
    <i r="1">
      <x v="34"/>
    </i>
    <i>
      <x v="33"/>
    </i>
    <i r="1">
      <x v="15"/>
    </i>
    <i r="1">
      <x v="35"/>
    </i>
    <i>
      <x v="34"/>
    </i>
    <i r="1">
      <x v="1"/>
    </i>
    <i r="1">
      <x v="27"/>
    </i>
    <i r="1">
      <x v="29"/>
    </i>
    <i r="1">
      <x v="30"/>
    </i>
    <i r="1">
      <x v="36"/>
    </i>
    <i r="1">
      <x v="50"/>
    </i>
    <i>
      <x v="35"/>
    </i>
    <i r="1">
      <x v="26"/>
    </i>
    <i r="1">
      <x v="37"/>
    </i>
    <i>
      <x v="36"/>
    </i>
    <i r="1">
      <x v="46"/>
    </i>
    <i>
      <x v="37"/>
    </i>
    <i r="1">
      <x v="38"/>
    </i>
    <i r="1">
      <x v="54"/>
    </i>
    <i t="grand">
      <x/>
    </i>
  </rowItems>
  <colFields count="1">
    <field x="-2"/>
  </colFields>
  <colItems count="8">
    <i>
      <x/>
    </i>
    <i i="1">
      <x v="1"/>
    </i>
    <i i="2">
      <x v="2"/>
    </i>
    <i i="3">
      <x v="3"/>
    </i>
    <i i="4">
      <x v="4"/>
    </i>
    <i i="5">
      <x v="5"/>
    </i>
    <i i="6">
      <x v="6"/>
    </i>
    <i i="7">
      <x v="7"/>
    </i>
  </colItems>
  <dataFields count="8">
    <dataField name="Sum of antalPerioden" fld="2" baseField="0" baseItem="0" numFmtId="3"/>
    <dataField name="Sum of antalFGPeriod" fld="3" baseField="0" baseItem="0" numFmtId="3"/>
    <dataField name="Sum of antalÅret" fld="4" baseField="0" baseItem="0" numFmtId="3"/>
    <dataField name="Sum of antalFGAr" fld="5" baseField="0" baseItem="0" numFmtId="3"/>
    <dataField name="Sum of chgPeriod" fld="13" baseField="0" baseItem="0" numFmtId="164"/>
    <dataField name="Sum of chgAret" fld="12" baseField="0" baseItem="0" numFmtId="164"/>
    <dataField name="Sum of shrYear" fld="9" baseField="0" baseItem="0" numFmtId="164"/>
    <dataField name="Sum of shrPrevYear" fld="11" baseField="0" baseItem="0" numFmtId="164"/>
  </dataFields>
  <formats count="66">
    <format dxfId="434">
      <pivotArea type="all" dataOnly="0" outline="0" fieldPosition="0"/>
    </format>
    <format dxfId="433">
      <pivotArea outline="0" collapsedLevelsAreSubtotals="1" fieldPosition="0"/>
    </format>
    <format dxfId="432">
      <pivotArea field="0" type="button" dataOnly="0" labelOnly="1" outline="0" axis="axisRow" fieldPosition="0"/>
    </format>
    <format dxfId="431">
      <pivotArea dataOnly="0" labelOnly="1" fieldPosition="0">
        <references count="1">
          <reference field="0" count="0"/>
        </references>
      </pivotArea>
    </format>
    <format dxfId="430">
      <pivotArea dataOnly="0" labelOnly="1" grandRow="1" outline="0" fieldPosition="0"/>
    </format>
    <format dxfId="429">
      <pivotArea dataOnly="0" labelOnly="1" fieldPosition="0">
        <references count="2">
          <reference field="0" count="1" selected="0">
            <x v="1"/>
          </reference>
          <reference field="1" count="2">
            <x v="11"/>
            <x v="14"/>
          </reference>
        </references>
      </pivotArea>
    </format>
    <format dxfId="428">
      <pivotArea dataOnly="0" labelOnly="1" fieldPosition="0">
        <references count="2">
          <reference field="0" count="1" selected="0">
            <x v="2"/>
          </reference>
          <reference field="1" count="3">
            <x v="0"/>
            <x v="6"/>
            <x v="12"/>
          </reference>
        </references>
      </pivotArea>
    </format>
    <format dxfId="427">
      <pivotArea dataOnly="0" labelOnly="1" fieldPosition="0">
        <references count="2">
          <reference field="0" count="1" selected="0">
            <x v="3"/>
          </reference>
          <reference field="1" count="2">
            <x v="2"/>
            <x v="20"/>
          </reference>
        </references>
      </pivotArea>
    </format>
    <format dxfId="426">
      <pivotArea dataOnly="0" labelOnly="1" fieldPosition="0">
        <references count="2">
          <reference field="0" count="1" selected="0">
            <x v="5"/>
          </reference>
          <reference field="1" count="1">
            <x v="39"/>
          </reference>
        </references>
      </pivotArea>
    </format>
    <format dxfId="425">
      <pivotArea dataOnly="0" labelOnly="1" fieldPosition="0">
        <references count="2">
          <reference field="0" count="1" selected="0">
            <x v="7"/>
          </reference>
          <reference field="1" count="1">
            <x v="43"/>
          </reference>
        </references>
      </pivotArea>
    </format>
    <format dxfId="424">
      <pivotArea dataOnly="0" labelOnly="1" fieldPosition="0">
        <references count="2">
          <reference field="0" count="1" selected="0">
            <x v="9"/>
          </reference>
          <reference field="1" count="1">
            <x v="7"/>
          </reference>
        </references>
      </pivotArea>
    </format>
    <format dxfId="423">
      <pivotArea dataOnly="0" labelOnly="1" fieldPosition="0">
        <references count="2">
          <reference field="0" count="1" selected="0">
            <x v="10"/>
          </reference>
          <reference field="1" count="1">
            <x v="8"/>
          </reference>
        </references>
      </pivotArea>
    </format>
    <format dxfId="422">
      <pivotArea dataOnly="0" labelOnly="1" fieldPosition="0">
        <references count="2">
          <reference field="0" count="1" selected="0">
            <x v="11"/>
          </reference>
          <reference field="1" count="1">
            <x v="9"/>
          </reference>
        </references>
      </pivotArea>
    </format>
    <format dxfId="421">
      <pivotArea dataOnly="0" labelOnly="1" fieldPosition="0">
        <references count="2">
          <reference field="0" count="1" selected="0">
            <x v="13"/>
          </reference>
          <reference field="1" count="1">
            <x v="10"/>
          </reference>
        </references>
      </pivotArea>
    </format>
    <format dxfId="420">
      <pivotArea dataOnly="0" labelOnly="1" fieldPosition="0">
        <references count="2">
          <reference field="0" count="1" selected="0">
            <x v="14"/>
          </reference>
          <reference field="1" count="1">
            <x v="13"/>
          </reference>
        </references>
      </pivotArea>
    </format>
    <format dxfId="419">
      <pivotArea dataOnly="0" labelOnly="1" fieldPosition="0">
        <references count="2">
          <reference field="0" count="1" selected="0">
            <x v="15"/>
          </reference>
          <reference field="1" count="4">
            <x v="3"/>
            <x v="5"/>
            <x v="24"/>
            <x v="25"/>
          </reference>
        </references>
      </pivotArea>
    </format>
    <format dxfId="418">
      <pivotArea dataOnly="0" labelOnly="1" fieldPosition="0">
        <references count="2">
          <reference field="0" count="1" selected="0">
            <x v="16"/>
          </reference>
          <reference field="1" count="1">
            <x v="21"/>
          </reference>
        </references>
      </pivotArea>
    </format>
    <format dxfId="417">
      <pivotArea dataOnly="0" labelOnly="1" fieldPosition="0">
        <references count="2">
          <reference field="0" count="1" selected="0">
            <x v="18"/>
          </reference>
          <reference field="1" count="1">
            <x v="33"/>
          </reference>
        </references>
      </pivotArea>
    </format>
    <format dxfId="416">
      <pivotArea dataOnly="0" labelOnly="1" fieldPosition="0">
        <references count="2">
          <reference field="0" count="1" selected="0">
            <x v="19"/>
          </reference>
          <reference field="1" count="1">
            <x v="40"/>
          </reference>
        </references>
      </pivotArea>
    </format>
    <format dxfId="415">
      <pivotArea dataOnly="0" labelOnly="1" fieldPosition="0">
        <references count="2">
          <reference field="0" count="1" selected="0">
            <x v="20"/>
          </reference>
          <reference field="1" count="1">
            <x v="17"/>
          </reference>
        </references>
      </pivotArea>
    </format>
    <format dxfId="414">
      <pivotArea dataOnly="0" labelOnly="1" fieldPosition="0">
        <references count="2">
          <reference field="0" count="1" selected="0">
            <x v="21"/>
          </reference>
          <reference field="1" count="2">
            <x v="18"/>
            <x v="19"/>
          </reference>
        </references>
      </pivotArea>
    </format>
    <format dxfId="413">
      <pivotArea dataOnly="0" labelOnly="1" fieldPosition="0">
        <references count="2">
          <reference field="0" count="1" selected="0">
            <x v="22"/>
          </reference>
          <reference field="1" count="1">
            <x v="22"/>
          </reference>
        </references>
      </pivotArea>
    </format>
    <format dxfId="412">
      <pivotArea dataOnly="0" labelOnly="1" fieldPosition="0">
        <references count="2">
          <reference field="0" count="1" selected="0">
            <x v="24"/>
          </reference>
          <reference field="1" count="1">
            <x v="23"/>
          </reference>
        </references>
      </pivotArea>
    </format>
    <format dxfId="411">
      <pivotArea dataOnly="0" labelOnly="1" fieldPosition="0">
        <references count="2">
          <reference field="0" count="1" selected="0">
            <x v="25"/>
          </reference>
          <reference field="1" count="1">
            <x v="26"/>
          </reference>
        </references>
      </pivotArea>
    </format>
    <format dxfId="410">
      <pivotArea dataOnly="0" labelOnly="1" fieldPosition="0">
        <references count="2">
          <reference field="0" count="1" selected="0">
            <x v="26"/>
          </reference>
          <reference field="1" count="3">
            <x v="4"/>
            <x v="28"/>
            <x v="42"/>
          </reference>
        </references>
      </pivotArea>
    </format>
    <format dxfId="409">
      <pivotArea dataOnly="0" labelOnly="1" fieldPosition="0">
        <references count="2">
          <reference field="0" count="1" selected="0">
            <x v="28"/>
          </reference>
          <reference field="1" count="1">
            <x v="16"/>
          </reference>
        </references>
      </pivotArea>
    </format>
    <format dxfId="408">
      <pivotArea dataOnly="0" labelOnly="1" fieldPosition="0">
        <references count="2">
          <reference field="0" count="1" selected="0">
            <x v="30"/>
          </reference>
          <reference field="1" count="1">
            <x v="32"/>
          </reference>
        </references>
      </pivotArea>
    </format>
    <format dxfId="407">
      <pivotArea dataOnly="0" labelOnly="1" fieldPosition="0">
        <references count="2">
          <reference field="0" count="1" selected="0">
            <x v="32"/>
          </reference>
          <reference field="1" count="1">
            <x v="34"/>
          </reference>
        </references>
      </pivotArea>
    </format>
    <format dxfId="406">
      <pivotArea dataOnly="0" labelOnly="1" fieldPosition="0">
        <references count="2">
          <reference field="0" count="1" selected="0">
            <x v="33"/>
          </reference>
          <reference field="1" count="2">
            <x v="15"/>
            <x v="35"/>
          </reference>
        </references>
      </pivotArea>
    </format>
    <format dxfId="405">
      <pivotArea dataOnly="0" labelOnly="1" fieldPosition="0">
        <references count="2">
          <reference field="0" count="1" selected="0">
            <x v="34"/>
          </reference>
          <reference field="1" count="5">
            <x v="1"/>
            <x v="27"/>
            <x v="29"/>
            <x v="30"/>
            <x v="36"/>
          </reference>
        </references>
      </pivotArea>
    </format>
    <format dxfId="404">
      <pivotArea dataOnly="0" labelOnly="1" fieldPosition="0">
        <references count="2">
          <reference field="0" count="1" selected="0">
            <x v="35"/>
          </reference>
          <reference field="1" count="2">
            <x v="26"/>
            <x v="37"/>
          </reference>
        </references>
      </pivotArea>
    </format>
    <format dxfId="403">
      <pivotArea dataOnly="0" labelOnly="1" fieldPosition="0">
        <references count="2">
          <reference field="0" count="1" selected="0">
            <x v="37"/>
          </reference>
          <reference field="1" count="1">
            <x v="38"/>
          </reference>
        </references>
      </pivotArea>
    </format>
    <format dxfId="402">
      <pivotArea dataOnly="0" labelOnly="1" outline="0" fieldPosition="0">
        <references count="1">
          <reference field="4294967294" count="8">
            <x v="0"/>
            <x v="1"/>
            <x v="2"/>
            <x v="3"/>
            <x v="4"/>
            <x v="5"/>
            <x v="6"/>
            <x v="7"/>
          </reference>
        </references>
      </pivotArea>
    </format>
    <format dxfId="401">
      <pivotArea type="all" dataOnly="0" outline="0" fieldPosition="0"/>
    </format>
    <format dxfId="400">
      <pivotArea outline="0" collapsedLevelsAreSubtotals="1" fieldPosition="0"/>
    </format>
    <format dxfId="399">
      <pivotArea field="0" type="button" dataOnly="0" labelOnly="1" outline="0" axis="axisRow" fieldPosition="0"/>
    </format>
    <format dxfId="398">
      <pivotArea dataOnly="0" labelOnly="1" fieldPosition="0">
        <references count="1">
          <reference field="0" count="0"/>
        </references>
      </pivotArea>
    </format>
    <format dxfId="397">
      <pivotArea dataOnly="0" labelOnly="1" grandRow="1" outline="0" fieldPosition="0"/>
    </format>
    <format dxfId="396">
      <pivotArea dataOnly="0" labelOnly="1" fieldPosition="0">
        <references count="2">
          <reference field="0" count="1" selected="0">
            <x v="1"/>
          </reference>
          <reference field="1" count="2">
            <x v="11"/>
            <x v="14"/>
          </reference>
        </references>
      </pivotArea>
    </format>
    <format dxfId="395">
      <pivotArea dataOnly="0" labelOnly="1" fieldPosition="0">
        <references count="2">
          <reference field="0" count="1" selected="0">
            <x v="2"/>
          </reference>
          <reference field="1" count="3">
            <x v="0"/>
            <x v="6"/>
            <x v="12"/>
          </reference>
        </references>
      </pivotArea>
    </format>
    <format dxfId="394">
      <pivotArea dataOnly="0" labelOnly="1" fieldPosition="0">
        <references count="2">
          <reference field="0" count="1" selected="0">
            <x v="3"/>
          </reference>
          <reference field="1" count="2">
            <x v="2"/>
            <x v="20"/>
          </reference>
        </references>
      </pivotArea>
    </format>
    <format dxfId="393">
      <pivotArea dataOnly="0" labelOnly="1" fieldPosition="0">
        <references count="2">
          <reference field="0" count="1" selected="0">
            <x v="5"/>
          </reference>
          <reference field="1" count="1">
            <x v="39"/>
          </reference>
        </references>
      </pivotArea>
    </format>
    <format dxfId="392">
      <pivotArea dataOnly="0" labelOnly="1" fieldPosition="0">
        <references count="2">
          <reference field="0" count="1" selected="0">
            <x v="7"/>
          </reference>
          <reference field="1" count="1">
            <x v="43"/>
          </reference>
        </references>
      </pivotArea>
    </format>
    <format dxfId="391">
      <pivotArea dataOnly="0" labelOnly="1" fieldPosition="0">
        <references count="2">
          <reference field="0" count="1" selected="0">
            <x v="9"/>
          </reference>
          <reference field="1" count="1">
            <x v="7"/>
          </reference>
        </references>
      </pivotArea>
    </format>
    <format dxfId="390">
      <pivotArea dataOnly="0" labelOnly="1" fieldPosition="0">
        <references count="2">
          <reference field="0" count="1" selected="0">
            <x v="10"/>
          </reference>
          <reference field="1" count="1">
            <x v="8"/>
          </reference>
        </references>
      </pivotArea>
    </format>
    <format dxfId="389">
      <pivotArea dataOnly="0" labelOnly="1" fieldPosition="0">
        <references count="2">
          <reference field="0" count="1" selected="0">
            <x v="11"/>
          </reference>
          <reference field="1" count="1">
            <x v="9"/>
          </reference>
        </references>
      </pivotArea>
    </format>
    <format dxfId="388">
      <pivotArea dataOnly="0" labelOnly="1" fieldPosition="0">
        <references count="2">
          <reference field="0" count="1" selected="0">
            <x v="13"/>
          </reference>
          <reference field="1" count="1">
            <x v="10"/>
          </reference>
        </references>
      </pivotArea>
    </format>
    <format dxfId="387">
      <pivotArea dataOnly="0" labelOnly="1" fieldPosition="0">
        <references count="2">
          <reference field="0" count="1" selected="0">
            <x v="14"/>
          </reference>
          <reference field="1" count="1">
            <x v="13"/>
          </reference>
        </references>
      </pivotArea>
    </format>
    <format dxfId="386">
      <pivotArea dataOnly="0" labelOnly="1" fieldPosition="0">
        <references count="2">
          <reference field="0" count="1" selected="0">
            <x v="15"/>
          </reference>
          <reference field="1" count="4">
            <x v="3"/>
            <x v="5"/>
            <x v="24"/>
            <x v="25"/>
          </reference>
        </references>
      </pivotArea>
    </format>
    <format dxfId="385">
      <pivotArea dataOnly="0" labelOnly="1" fieldPosition="0">
        <references count="2">
          <reference field="0" count="1" selected="0">
            <x v="16"/>
          </reference>
          <reference field="1" count="1">
            <x v="21"/>
          </reference>
        </references>
      </pivotArea>
    </format>
    <format dxfId="384">
      <pivotArea dataOnly="0" labelOnly="1" fieldPosition="0">
        <references count="2">
          <reference field="0" count="1" selected="0">
            <x v="18"/>
          </reference>
          <reference field="1" count="1">
            <x v="33"/>
          </reference>
        </references>
      </pivotArea>
    </format>
    <format dxfId="383">
      <pivotArea dataOnly="0" labelOnly="1" fieldPosition="0">
        <references count="2">
          <reference field="0" count="1" selected="0">
            <x v="19"/>
          </reference>
          <reference field="1" count="1">
            <x v="40"/>
          </reference>
        </references>
      </pivotArea>
    </format>
    <format dxfId="382">
      <pivotArea dataOnly="0" labelOnly="1" fieldPosition="0">
        <references count="2">
          <reference field="0" count="1" selected="0">
            <x v="20"/>
          </reference>
          <reference field="1" count="1">
            <x v="17"/>
          </reference>
        </references>
      </pivotArea>
    </format>
    <format dxfId="381">
      <pivotArea dataOnly="0" labelOnly="1" fieldPosition="0">
        <references count="2">
          <reference field="0" count="1" selected="0">
            <x v="21"/>
          </reference>
          <reference field="1" count="2">
            <x v="18"/>
            <x v="19"/>
          </reference>
        </references>
      </pivotArea>
    </format>
    <format dxfId="380">
      <pivotArea dataOnly="0" labelOnly="1" fieldPosition="0">
        <references count="2">
          <reference field="0" count="1" selected="0">
            <x v="22"/>
          </reference>
          <reference field="1" count="1">
            <x v="22"/>
          </reference>
        </references>
      </pivotArea>
    </format>
    <format dxfId="379">
      <pivotArea dataOnly="0" labelOnly="1" fieldPosition="0">
        <references count="2">
          <reference field="0" count="1" selected="0">
            <x v="24"/>
          </reference>
          <reference field="1" count="1">
            <x v="23"/>
          </reference>
        </references>
      </pivotArea>
    </format>
    <format dxfId="378">
      <pivotArea dataOnly="0" labelOnly="1" fieldPosition="0">
        <references count="2">
          <reference field="0" count="1" selected="0">
            <x v="25"/>
          </reference>
          <reference field="1" count="1">
            <x v="26"/>
          </reference>
        </references>
      </pivotArea>
    </format>
    <format dxfId="377">
      <pivotArea dataOnly="0" labelOnly="1" fieldPosition="0">
        <references count="2">
          <reference field="0" count="1" selected="0">
            <x v="26"/>
          </reference>
          <reference field="1" count="3">
            <x v="4"/>
            <x v="28"/>
            <x v="42"/>
          </reference>
        </references>
      </pivotArea>
    </format>
    <format dxfId="376">
      <pivotArea dataOnly="0" labelOnly="1" fieldPosition="0">
        <references count="2">
          <reference field="0" count="1" selected="0">
            <x v="28"/>
          </reference>
          <reference field="1" count="1">
            <x v="16"/>
          </reference>
        </references>
      </pivotArea>
    </format>
    <format dxfId="375">
      <pivotArea dataOnly="0" labelOnly="1" fieldPosition="0">
        <references count="2">
          <reference field="0" count="1" selected="0">
            <x v="30"/>
          </reference>
          <reference field="1" count="1">
            <x v="32"/>
          </reference>
        </references>
      </pivotArea>
    </format>
    <format dxfId="374">
      <pivotArea dataOnly="0" labelOnly="1" fieldPosition="0">
        <references count="2">
          <reference field="0" count="1" selected="0">
            <x v="32"/>
          </reference>
          <reference field="1" count="1">
            <x v="34"/>
          </reference>
        </references>
      </pivotArea>
    </format>
    <format dxfId="373">
      <pivotArea dataOnly="0" labelOnly="1" fieldPosition="0">
        <references count="2">
          <reference field="0" count="1" selected="0">
            <x v="33"/>
          </reference>
          <reference field="1" count="2">
            <x v="15"/>
            <x v="35"/>
          </reference>
        </references>
      </pivotArea>
    </format>
    <format dxfId="372">
      <pivotArea dataOnly="0" labelOnly="1" fieldPosition="0">
        <references count="2">
          <reference field="0" count="1" selected="0">
            <x v="34"/>
          </reference>
          <reference field="1" count="5">
            <x v="1"/>
            <x v="27"/>
            <x v="29"/>
            <x v="30"/>
            <x v="36"/>
          </reference>
        </references>
      </pivotArea>
    </format>
    <format dxfId="371">
      <pivotArea dataOnly="0" labelOnly="1" fieldPosition="0">
        <references count="2">
          <reference field="0" count="1" selected="0">
            <x v="35"/>
          </reference>
          <reference field="1" count="2">
            <x v="26"/>
            <x v="37"/>
          </reference>
        </references>
      </pivotArea>
    </format>
    <format dxfId="370">
      <pivotArea dataOnly="0" labelOnly="1" fieldPosition="0">
        <references count="2">
          <reference field="0" count="1" selected="0">
            <x v="37"/>
          </reference>
          <reference field="1" count="1">
            <x v="38"/>
          </reference>
        </references>
      </pivotArea>
    </format>
    <format dxfId="369">
      <pivotArea dataOnly="0" labelOnly="1" outline="0" fieldPosition="0">
        <references count="1">
          <reference field="4294967294" count="8">
            <x v="0"/>
            <x v="1"/>
            <x v="2"/>
            <x v="3"/>
            <x v="4"/>
            <x v="5"/>
            <x v="6"/>
            <x v="7"/>
          </reference>
        </references>
      </pivotArea>
    </format>
  </formats>
  <pivotTableStyleInfo name="PivotStyleMedium1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44" applyNumberFormats="0" applyBorderFormats="0" applyFontFormats="0" applyPatternFormats="0" applyAlignmentFormats="0" applyWidthHeightFormats="1" dataCaption="Values" grandTotalCaption="Totalt" updatedVersion="4" minRefreshableVersion="3" itemPrintTitles="1" createdVersion="6" indent="0" outline="1" outlineData="1" multipleFieldFilters="0">
  <location ref="A7:G12" firstHeaderRow="0" firstDataRow="1" firstDataCol="1"/>
  <pivotFields count="11">
    <pivotField axis="axisRow" showAll="0">
      <items count="7">
        <item x="0"/>
        <item h="1" m="1" x="4"/>
        <item x="1"/>
        <item x="2"/>
        <item h="1" m="1" x="5"/>
        <item x="3"/>
        <item t="default"/>
      </items>
    </pivotField>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1">
    <field x="0"/>
  </rowFields>
  <rowItems count="5">
    <i>
      <x/>
    </i>
    <i>
      <x v="2"/>
    </i>
    <i>
      <x v="3"/>
    </i>
    <i>
      <x v="5"/>
    </i>
    <i t="grand">
      <x/>
    </i>
  </rowItems>
  <colFields count="1">
    <field x="-2"/>
  </colFields>
  <colItems count="6">
    <i>
      <x/>
    </i>
    <i i="1">
      <x v="1"/>
    </i>
    <i i="2">
      <x v="2"/>
    </i>
    <i i="3">
      <x v="3"/>
    </i>
    <i i="4">
      <x v="4"/>
    </i>
    <i i="5">
      <x v="5"/>
    </i>
  </colItems>
  <dataFields count="6">
    <dataField name="Sum of antalPerioden" fld="1" baseField="0" baseItem="0" numFmtId="3"/>
    <dataField name="Sum of antalPeriodenFG" fld="2" baseField="0" baseItem="0" numFmtId="3"/>
    <dataField name="Sum of antalAret" fld="3" baseField="0" baseItem="0" numFmtId="3"/>
    <dataField name="Sum of antalAretFG" fld="4" baseField="0" baseItem="0" numFmtId="3"/>
    <dataField name="Sum of calcChangePerioden" fld="9" baseField="0" baseItem="0" numFmtId="165"/>
    <dataField name="Sum of calcChangeAret" fld="10" baseField="0" baseItem="0" numFmtId="165"/>
  </dataFields>
  <formats count="35">
    <format dxfId="199">
      <pivotArea outline="0" collapsedLevelsAreSubtotals="1" fieldPosition="0">
        <references count="1">
          <reference field="4294967294" count="4" selected="0">
            <x v="0"/>
            <x v="1"/>
            <x v="2"/>
            <x v="3"/>
          </reference>
        </references>
      </pivotArea>
    </format>
    <format dxfId="198">
      <pivotArea dataOnly="0" labelOnly="1" outline="0" fieldPosition="0">
        <references count="1">
          <reference field="4294967294" count="4">
            <x v="0"/>
            <x v="1"/>
            <x v="2"/>
            <x v="3"/>
          </reference>
        </references>
      </pivotArea>
    </format>
    <format dxfId="197">
      <pivotArea dataOnly="0" labelOnly="1" fieldPosition="0">
        <references count="1">
          <reference field="0" count="0"/>
        </references>
      </pivotArea>
    </format>
    <format dxfId="196">
      <pivotArea collapsedLevelsAreSubtotals="1" fieldPosition="0">
        <references count="1">
          <reference field="0" count="1">
            <x v="3"/>
          </reference>
        </references>
      </pivotArea>
    </format>
    <format dxfId="195">
      <pivotArea dataOnly="0" labelOnly="1" fieldPosition="0">
        <references count="1">
          <reference field="0" count="1">
            <x v="3"/>
          </reference>
        </references>
      </pivotArea>
    </format>
    <format dxfId="194">
      <pivotArea collapsedLevelsAreSubtotals="1" fieldPosition="0">
        <references count="1">
          <reference field="0" count="1">
            <x v="4"/>
          </reference>
        </references>
      </pivotArea>
    </format>
    <format dxfId="193">
      <pivotArea dataOnly="0" labelOnly="1" fieldPosition="0">
        <references count="1">
          <reference field="0" count="1">
            <x v="4"/>
          </reference>
        </references>
      </pivotArea>
    </format>
    <format dxfId="192">
      <pivotArea collapsedLevelsAreSubtotals="1" fieldPosition="0">
        <references count="1">
          <reference field="0" count="1">
            <x v="4"/>
          </reference>
        </references>
      </pivotArea>
    </format>
    <format dxfId="191">
      <pivotArea dataOnly="0" labelOnly="1" fieldPosition="0">
        <references count="1">
          <reference field="0" count="1">
            <x v="4"/>
          </reference>
        </references>
      </pivotArea>
    </format>
    <format dxfId="190">
      <pivotArea dataOnly="0" grandRow="1" fieldPosition="0"/>
    </format>
    <format dxfId="189">
      <pivotArea grandRow="1" outline="0" collapsedLevelsAreSubtotals="1" fieldPosition="0"/>
    </format>
    <format dxfId="188">
      <pivotArea dataOnly="0" labelOnly="1" grandRow="1" outline="0" fieldPosition="0"/>
    </format>
    <format dxfId="187">
      <pivotArea grandRow="1" outline="0" collapsedLevelsAreSubtotals="1" fieldPosition="0"/>
    </format>
    <format dxfId="186">
      <pivotArea dataOnly="0" labelOnly="1" grandRow="1" outline="0" fieldPosition="0"/>
    </format>
    <format dxfId="185">
      <pivotArea grandRow="1" outline="0" collapsedLevelsAreSubtotals="1" fieldPosition="0"/>
    </format>
    <format dxfId="184">
      <pivotArea dataOnly="0" labelOnly="1" grandRow="1" outline="0" fieldPosition="0"/>
    </format>
    <format dxfId="183">
      <pivotArea dataOnly="0" labelOnly="1" fieldPosition="0">
        <references count="1">
          <reference field="0" count="1">
            <x v="2"/>
          </reference>
        </references>
      </pivotArea>
    </format>
    <format dxfId="182">
      <pivotArea dataOnly="0" labelOnly="1" fieldPosition="0">
        <references count="1">
          <reference field="0" count="1">
            <x v="3"/>
          </reference>
        </references>
      </pivotArea>
    </format>
    <format dxfId="181">
      <pivotArea collapsedLevelsAreSubtotals="1" fieldPosition="0">
        <references count="2">
          <reference field="4294967294" count="1" selected="0">
            <x v="0"/>
          </reference>
          <reference field="0" count="1">
            <x v="2"/>
          </reference>
        </references>
      </pivotArea>
    </format>
    <format dxfId="180">
      <pivotArea collapsedLevelsAreSubtotals="1" fieldPosition="0">
        <references count="2">
          <reference field="4294967294" count="1" selected="0">
            <x v="0"/>
          </reference>
          <reference field="0" count="1">
            <x v="3"/>
          </reference>
        </references>
      </pivotArea>
    </format>
    <format dxfId="179">
      <pivotArea collapsedLevelsAreSubtotals="1" fieldPosition="0">
        <references count="2">
          <reference field="4294967294" count="1" selected="0">
            <x v="1"/>
          </reference>
          <reference field="0" count="1">
            <x v="2"/>
          </reference>
        </references>
      </pivotArea>
    </format>
    <format dxfId="178">
      <pivotArea collapsedLevelsAreSubtotals="1" fieldPosition="0">
        <references count="2">
          <reference field="4294967294" count="1" selected="0">
            <x v="2"/>
          </reference>
          <reference field="0" count="1">
            <x v="2"/>
          </reference>
        </references>
      </pivotArea>
    </format>
    <format dxfId="177">
      <pivotArea collapsedLevelsAreSubtotals="1" fieldPosition="0">
        <references count="2">
          <reference field="4294967294" count="1" selected="0">
            <x v="3"/>
          </reference>
          <reference field="0" count="1">
            <x v="2"/>
          </reference>
        </references>
      </pivotArea>
    </format>
    <format dxfId="176">
      <pivotArea collapsedLevelsAreSubtotals="1" fieldPosition="0">
        <references count="2">
          <reference field="4294967294" count="3" selected="0">
            <x v="1"/>
            <x v="2"/>
            <x v="3"/>
          </reference>
          <reference field="0" count="1">
            <x v="3"/>
          </reference>
        </references>
      </pivotArea>
    </format>
    <format dxfId="175">
      <pivotArea outline="0" collapsedLevelsAreSubtotals="1" fieldPosition="0">
        <references count="1">
          <reference field="4294967294" count="2" selected="0">
            <x v="4"/>
            <x v="5"/>
          </reference>
        </references>
      </pivotArea>
    </format>
    <format dxfId="174">
      <pivotArea collapsedLevelsAreSubtotals="1" fieldPosition="0">
        <references count="2">
          <reference field="4294967294" count="1" selected="0">
            <x v="4"/>
          </reference>
          <reference field="0" count="1">
            <x v="2"/>
          </reference>
        </references>
      </pivotArea>
    </format>
    <format dxfId="173">
      <pivotArea collapsedLevelsAreSubtotals="1" fieldPosition="0">
        <references count="2">
          <reference field="4294967294" count="1" selected="0">
            <x v="5"/>
          </reference>
          <reference field="0" count="1">
            <x v="2"/>
          </reference>
        </references>
      </pivotArea>
    </format>
    <format dxfId="172">
      <pivotArea collapsedLevelsAreSubtotals="1" fieldPosition="0">
        <references count="2">
          <reference field="4294967294" count="1" selected="0">
            <x v="4"/>
          </reference>
          <reference field="0" count="1">
            <x v="3"/>
          </reference>
        </references>
      </pivotArea>
    </format>
    <format dxfId="171">
      <pivotArea collapsedLevelsAreSubtotals="1" fieldPosition="0">
        <references count="2">
          <reference field="4294967294" count="1" selected="0">
            <x v="5"/>
          </reference>
          <reference field="0" count="1">
            <x v="3"/>
          </reference>
        </references>
      </pivotArea>
    </format>
    <format dxfId="170">
      <pivotArea type="all" dataOnly="0" outline="0" fieldPosition="0"/>
    </format>
    <format dxfId="169">
      <pivotArea outline="0" collapsedLevelsAreSubtotals="1" fieldPosition="0"/>
    </format>
    <format dxfId="168">
      <pivotArea field="0" type="button" dataOnly="0" labelOnly="1" outline="0" axis="axisRow" fieldPosition="0"/>
    </format>
    <format dxfId="167">
      <pivotArea dataOnly="0" labelOnly="1" fieldPosition="0">
        <references count="1">
          <reference field="0" count="0"/>
        </references>
      </pivotArea>
    </format>
    <format dxfId="166">
      <pivotArea dataOnly="0" labelOnly="1" grandRow="1" outline="0" fieldPosition="0"/>
    </format>
    <format dxfId="165">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3" cacheId="45" applyNumberFormats="0" applyBorderFormats="0" applyFontFormats="0" applyPatternFormats="0" applyAlignmentFormats="0" applyWidthHeightFormats="1" dataCaption="Values" grandTotalCaption="Totalt" missingCaption="0" updatedVersion="4" minRefreshableVersion="3" showDrill="0" rowGrandTotals="0" itemPrintTitles="1" createdVersion="6" indent="0" showHeaders="0" outline="1" outlineData="1" multipleFieldFilters="0">
  <location ref="A6:O40" firstHeaderRow="0" firstDataRow="1" firstDataCol="2"/>
  <pivotFields count="15">
    <pivotField axis="axisRow" compact="0" subtotalTop="0" showAll="0" insertBlankRow="1" defaultSubtotal="0">
      <items count="12">
        <item m="1" x="11"/>
        <item m="1" x="9"/>
        <item x="0"/>
        <item x="1"/>
        <item x="2"/>
        <item x="3"/>
        <item m="1" x="10"/>
        <item x="5"/>
        <item x="4"/>
        <item x="6"/>
        <item x="7"/>
        <item x="8"/>
      </items>
    </pivotField>
    <pivotField axis="axisRow" subtotalTop="0" showAll="0" sortType="descending" defaultSubtotal="0">
      <items count="4">
        <item x="1"/>
        <item x="0"/>
        <item m="1" x="3"/>
        <item m="1" x="2"/>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0"/>
    <field x="1"/>
  </rowFields>
  <rowItems count="34">
    <i>
      <x v="2"/>
    </i>
    <i r="1">
      <x v="1"/>
    </i>
    <i t="blank">
      <x v="2"/>
    </i>
    <i>
      <x v="3"/>
    </i>
    <i r="1">
      <x/>
    </i>
    <i r="1">
      <x v="1"/>
    </i>
    <i t="blank">
      <x v="3"/>
    </i>
    <i>
      <x v="4"/>
    </i>
    <i r="1">
      <x v="1"/>
    </i>
    <i t="blank">
      <x v="4"/>
    </i>
    <i>
      <x v="5"/>
    </i>
    <i r="1">
      <x/>
    </i>
    <i r="1">
      <x v="1"/>
    </i>
    <i t="blank">
      <x v="5"/>
    </i>
    <i>
      <x v="7"/>
    </i>
    <i r="1">
      <x/>
    </i>
    <i r="1">
      <x v="1"/>
    </i>
    <i t="blank">
      <x v="7"/>
    </i>
    <i>
      <x v="8"/>
    </i>
    <i r="1">
      <x/>
    </i>
    <i r="1">
      <x v="1"/>
    </i>
    <i t="blank">
      <x v="8"/>
    </i>
    <i>
      <x v="9"/>
    </i>
    <i r="1">
      <x/>
    </i>
    <i r="1">
      <x v="1"/>
    </i>
    <i t="blank">
      <x v="9"/>
    </i>
    <i>
      <x v="10"/>
    </i>
    <i r="1">
      <x/>
    </i>
    <i r="1">
      <x v="1"/>
    </i>
    <i t="blank">
      <x v="10"/>
    </i>
    <i>
      <x v="11"/>
    </i>
    <i r="1">
      <x/>
    </i>
    <i r="1">
      <x v="1"/>
    </i>
    <i t="blank">
      <x v="11"/>
    </i>
  </rowItems>
  <colFields count="1">
    <field x="-2"/>
  </colFields>
  <colItems count="13">
    <i>
      <x/>
    </i>
    <i i="1">
      <x v="1"/>
    </i>
    <i i="2">
      <x v="2"/>
    </i>
    <i i="3">
      <x v="3"/>
    </i>
    <i i="4">
      <x v="4"/>
    </i>
    <i i="5">
      <x v="5"/>
    </i>
    <i i="6">
      <x v="6"/>
    </i>
    <i i="7">
      <x v="7"/>
    </i>
    <i i="8">
      <x v="8"/>
    </i>
    <i i="9">
      <x v="9"/>
    </i>
    <i i="10">
      <x v="10"/>
    </i>
    <i i="11">
      <x v="11"/>
    </i>
    <i i="12">
      <x v="12"/>
    </i>
  </colItems>
  <dataFields count="13">
    <dataField name="Sum of I År" fld="2" baseField="0" baseItem="1" numFmtId="3"/>
    <dataField name="Sum of Jan" fld="3" baseField="0" baseItem="0"/>
    <dataField name="Sum of Feb" fld="4" baseField="0" baseItem="0"/>
    <dataField name="Sum of Mar" fld="5" baseField="0" baseItem="0"/>
    <dataField name="Sum of Apr" fld="6" baseField="0" baseItem="0"/>
    <dataField name="Sum of Maj" fld="7" baseField="0" baseItem="0"/>
    <dataField name="Sum of Jun" fld="8" baseField="0" baseItem="0"/>
    <dataField name="Sum of Jul" fld="9" baseField="0" baseItem="0"/>
    <dataField name="Sum of Aug" fld="10" baseField="0" baseItem="0"/>
    <dataField name="Sum of Sep" fld="11" baseField="0" baseItem="0"/>
    <dataField name="Sum of Okt" fld="12" baseField="0" baseItem="0"/>
    <dataField name="Sum of Nov" fld="13" baseField="0" baseItem="0"/>
    <dataField name="Sum of Dec" fld="14" baseField="0" baseItem="0"/>
  </dataFields>
  <formats count="18">
    <format dxfId="32">
      <pivotArea dataOnly="0" labelOnly="1" fieldPosition="0">
        <references count="2">
          <reference field="0" count="1" selected="0">
            <x v="0"/>
          </reference>
          <reference field="1" count="1">
            <x v="2"/>
          </reference>
        </references>
      </pivotArea>
    </format>
    <format dxfId="31">
      <pivotArea dataOnly="0" labelOnly="1" fieldPosition="0">
        <references count="2">
          <reference field="0" count="1" selected="0">
            <x v="0"/>
          </reference>
          <reference field="1" count="1">
            <x v="2"/>
          </reference>
        </references>
      </pivotArea>
    </format>
    <format dxfId="30">
      <pivotArea dataOnly="0" labelOnly="1" fieldPosition="0">
        <references count="2">
          <reference field="0" count="1" selected="0">
            <x v="0"/>
          </reference>
          <reference field="1" count="1">
            <x v="2"/>
          </reference>
        </references>
      </pivotArea>
    </format>
    <format dxfId="29">
      <pivotArea dataOnly="0" labelOnly="1" fieldPosition="0">
        <references count="2">
          <reference field="0" count="1" selected="0">
            <x v="0"/>
          </reference>
          <reference field="1" count="1">
            <x v="2"/>
          </reference>
        </references>
      </pivotArea>
    </format>
    <format dxfId="28">
      <pivotArea type="all" dataOnly="0" outline="0" fieldPosition="0"/>
    </format>
    <format dxfId="27">
      <pivotArea outline="0" collapsedLevelsAreSubtotals="1" fieldPosition="0"/>
    </format>
    <format dxfId="26">
      <pivotArea dataOnly="0" labelOnly="1" outline="0" fieldPosition="0">
        <references count="1">
          <reference field="0" count="0"/>
        </references>
      </pivotArea>
    </format>
    <format dxfId="25">
      <pivotArea dataOnly="0" labelOnly="1" fieldPosition="0">
        <references count="2">
          <reference field="0" count="1" selected="0">
            <x v="0"/>
          </reference>
          <reference field="1" count="1">
            <x v="2"/>
          </reference>
        </references>
      </pivotArea>
    </format>
    <format dxfId="24">
      <pivotArea dataOnly="0" labelOnly="1" fieldPosition="0">
        <references count="2">
          <reference field="0" count="1" selected="0">
            <x v="1"/>
          </reference>
          <reference field="1" count="1">
            <x v="2"/>
          </reference>
        </references>
      </pivotArea>
    </format>
    <format dxfId="23">
      <pivotArea dataOnly="0" labelOnly="1" fieldPosition="0">
        <references count="2">
          <reference field="0" count="1" selected="0">
            <x v="3"/>
          </reference>
          <reference field="1" count="0"/>
        </references>
      </pivotArea>
    </format>
    <format dxfId="22">
      <pivotArea dataOnly="0" labelOnly="1" fieldPosition="0">
        <references count="2">
          <reference field="0" count="1" selected="0">
            <x v="4"/>
          </reference>
          <reference field="1" count="1">
            <x v="2"/>
          </reference>
        </references>
      </pivotArea>
    </format>
    <format dxfId="21">
      <pivotArea dataOnly="0" labelOnly="1" fieldPosition="0">
        <references count="2">
          <reference field="0" count="1" selected="0">
            <x v="5"/>
          </reference>
          <reference field="1" count="0"/>
        </references>
      </pivotArea>
    </format>
    <format dxfId="20">
      <pivotArea dataOnly="0" labelOnly="1" fieldPosition="0">
        <references count="2">
          <reference field="0" count="1" selected="0">
            <x v="7"/>
          </reference>
          <reference field="1" count="1">
            <x v="2"/>
          </reference>
        </references>
      </pivotArea>
    </format>
    <format dxfId="19">
      <pivotArea dataOnly="0" labelOnly="1" fieldPosition="0">
        <references count="2">
          <reference field="0" count="1" selected="0">
            <x v="8"/>
          </reference>
          <reference field="1" count="0"/>
        </references>
      </pivotArea>
    </format>
    <format dxfId="18">
      <pivotArea dataOnly="0" labelOnly="1" fieldPosition="0">
        <references count="2">
          <reference field="0" count="1" selected="0">
            <x v="9"/>
          </reference>
          <reference field="1" count="0"/>
        </references>
      </pivotArea>
    </format>
    <format dxfId="17">
      <pivotArea dataOnly="0" labelOnly="1" fieldPosition="0">
        <references count="2">
          <reference field="0" count="1" selected="0">
            <x v="10"/>
          </reference>
          <reference field="1" count="0"/>
        </references>
      </pivotArea>
    </format>
    <format dxfId="16">
      <pivotArea dataOnly="0" labelOnly="1" fieldPosition="0">
        <references count="2">
          <reference field="0" count="1" selected="0">
            <x v="11"/>
          </reference>
          <reference field="1" count="0"/>
        </references>
      </pivotArea>
    </format>
    <format dxfId="15">
      <pivotArea dataOnly="0" labelOnly="1" outline="0" fieldPosition="0">
        <references count="1">
          <reference field="4294967294" count="13">
            <x v="0"/>
            <x v="1"/>
            <x v="2"/>
            <x v="3"/>
            <x v="4"/>
            <x v="5"/>
            <x v="6"/>
            <x v="7"/>
            <x v="8"/>
            <x v="9"/>
            <x v="10"/>
            <x v="11"/>
            <x v="12"/>
          </reference>
        </references>
      </pivotArea>
    </format>
  </formats>
  <pivotTableStyleInfo name="PivotStyleLight6" showRowHeaders="1" showColHeaders="0"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dsql12 Transportstyrelsen sumPrelNyregImportPBTotaler_1" headers="0" backgroundRefresh="0" growShrinkType="overwriteClear" adjustColumnWidth="0" connectionId="17" xr16:uid="{00000000-0016-0000-0100-000000000000}" autoFormatId="16" applyNumberFormats="0" applyBorderFormats="0" applyFontFormats="0" applyPatternFormats="0" applyAlignmentFormats="0" applyWidthHeightFormats="0">
  <queryTableRefresh headersInLastRefresh="0" nextId="5">
    <queryTableFields count="4">
      <queryTableField id="1" name="Grupp" tableColumnId="1"/>
      <queryTableField id="2" name="År" tableColumnId="2"/>
      <queryTableField id="3" name="Månaden" tableColumnId="3"/>
      <queryTableField id="4" name="YTD"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bdsql12 BDmodell getAggModelsFuelTypeLB" backgroundRefresh="0" growShrinkType="overwriteClear" adjustColumnWidth="0" connectionId="10" xr16:uid="{00000000-0016-0000-0F00-00000C000000}" autoFormatId="16" applyNumberFormats="0" applyBorderFormats="0" applyFontFormats="0" applyPatternFormats="0" applyAlignmentFormats="0" applyWidthHeightFormats="0">
  <queryTableRefresh nextId="13">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6" xr16:uid="{00000000-0016-0000-1100-00000D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 xr16:uid="{00000000-0016-0000-1200-00000E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2" backgroundRefresh="0" growShrinkType="overwriteClear" adjustColumnWidth="0" connectionId="2" xr16:uid="{00000000-0016-0000-1200-00000F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bdsql12 BDnewRegistrations getAggBussEL" backgroundRefresh="0" growShrinkType="overwriteClear" adjustColumnWidth="0" connectionId="3" xr16:uid="{00000000-0016-0000-1300-000010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dsql12 BDmodell PB" backgroundRefresh="0" growShrinkType="overwriteClear" adjustColumnWidth="0" connectionId="9" xr16:uid="{00000000-0016-0000-0200-000001000000}" autoFormatId="16" applyNumberFormats="0" applyBorderFormats="0" applyFontFormats="0" applyPatternFormats="0" applyAlignmentFormats="0" applyWidthHeightFormats="0">
  <queryTableRefresh nextId="14">
    <queryTableFields count="12">
      <queryTableField id="1" name="no" tableColumnId="1"/>
      <queryTableField id="2" name="modell" tableColumnId="2"/>
      <queryTableField id="3" name="antalPerioden" tableColumnId="3"/>
      <queryTableField id="4" name="antalFGPeriod" tableColumnId="4"/>
      <queryTableField id="5" name="antalÅret" tableColumnId="5"/>
      <queryTableField id="6" name="antalFGAr" tableColumnId="6"/>
      <queryTableField id="7" name="changePeriod" tableColumnId="7"/>
      <queryTableField id="8" name="changeAret" tableColumnId="8"/>
      <queryTableField id="9" name="shrPeriod" tableColumnId="9"/>
      <queryTableField id="10" name="shrYear" tableColumnId="10"/>
      <queryTableField id="11" name="shrPrevPeriod" tableColumnId="11"/>
      <queryTableField id="12" name="shrPrevYear"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growShrinkType="overwriteClear" adjustColumnWidth="0" connectionId="12" xr16:uid="{00000000-0016-0000-0500-000002000000}" autoFormatId="16" applyNumberFormats="0" applyBorderFormats="0" applyFontFormats="0" applyPatternFormats="0" applyAlignmentFormats="0" applyWidthHeightFormats="0">
  <queryTableRefresh nextId="11" unboundColumnsRight="3">
    <queryTableFields count="10">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9" dataBound="0" tableColumnId="8"/>
      <queryTableField id="8" dataBound="0"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3" xr16:uid="{00000000-0016-0000-0600-000003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4" xr16:uid="{00000000-0016-0000-0700-000004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bdsql12 BDmodell getAggRechargeModels_1" backgroundRefresh="0" growShrinkType="overwriteClear" adjustColumnWidth="0" connectionId="15" xr16:uid="{00000000-0016-0000-0800-000005000000}" autoFormatId="16" applyNumberFormats="0" applyBorderFormats="0" applyFontFormats="0" applyPatternFormats="0" applyAlignmentFormats="0" applyWidthHeightFormats="0">
  <queryTableRefresh nextId="14">
    <queryTableFields count="13">
      <queryTableField id="1" name="no" tableColumnId="1"/>
      <queryTableField id="2" name="modben" tableColumnId="2"/>
      <queryTableField id="3" name="miljoklass" tableColumnId="3"/>
      <queryTableField id="4" name="antalPerioden" tableColumnId="4"/>
      <queryTableField id="5" name="antalFGPeriod" tableColumnId="5"/>
      <queryTableField id="6" name="antalÅret" tableColumnId="6"/>
      <queryTableField id="7" name="antalFGAr" tableColumnId="7"/>
      <queryTableField id="8" name="changePeriod" tableColumnId="8"/>
      <queryTableField id="9" name="changeAret" tableColumnId="9"/>
      <queryTableField id="10" name="shrPeriod" tableColumnId="10"/>
      <queryTableField id="11" name="shrYear" tableColumnId="11"/>
      <queryTableField id="12" name="shrPrevPeriod" tableColumnId="12"/>
      <queryTableField id="13" name="shrPrevYear" tableColumnId="1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bdsql12 BDnewRegistrationsgetAggPBCO2EmissionsWLTP" backgroundRefresh="0" growShrinkType="overwriteClear" adjustColumnWidth="0" connectionId="11" xr16:uid="{00000000-0016-0000-0A00-000008000000}" autoFormatId="16" applyNumberFormats="0" applyBorderFormats="0" applyFontFormats="0" applyPatternFormats="0" applyAlignmentFormats="0" applyWidthHeightFormats="0">
  <queryTableRefresh nextId="12" unboundColumnsRight="4">
    <queryTableFields count="11">
      <queryTableField id="1" name="drivmedel" tableColumnId="1"/>
      <queryTableField id="2" name="antalPerioden" tableColumnId="2"/>
      <queryTableField id="3" name="antalPeriodenFG" tableColumnId="3"/>
      <queryTableField id="6" dataBound="0" tableColumnId="6"/>
      <queryTableField id="7" dataBound="0" tableColumnId="7"/>
      <queryTableField id="4" name="antalAret" tableColumnId="4"/>
      <queryTableField id="5" name="antalAretFG" tableColumnId="5"/>
      <queryTableField id="8" dataBound="0" tableColumnId="8"/>
      <queryTableField id="9" dataBound="0" tableColumnId="9"/>
      <queryTableField id="10" dataBound="0" tableColumnId="10"/>
      <queryTableField id="11" dataBound="0" tableColumnId="11"/>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bdsql12 BDnewRegistrations getAggFysJur" backgroundRefresh="0" growShrinkType="overwriteClear" adjustColumnWidth="0" connectionId="4" xr16:uid="{00000000-0016-0000-0B00-00000A000000}" autoFormatId="16" applyNumberFormats="0" applyBorderFormats="0" applyFontFormats="0" applyPatternFormats="0" applyAlignmentFormats="0" applyWidthHeightFormats="0">
  <queryTableRefresh nextId="18">
    <queryTableFields count="17">
      <queryTableField id="1" name="fabrikat" tableColumnId="1"/>
      <queryTableField id="2" name="antalFysiska" tableColumnId="2"/>
      <queryTableField id="3" name="antalFysiskaFG" tableColumnId="3"/>
      <queryTableField id="4" name="antalJuridiska" tableColumnId="4"/>
      <queryTableField id="5" name="antalJuridiskaFG" tableColumnId="5"/>
      <queryTableField id="6" name="shrJur" tableColumnId="6"/>
      <queryTableField id="7" name="shrJurFG" tableColumnId="7"/>
      <queryTableField id="8" name="totalPerioden" tableColumnId="8"/>
      <queryTableField id="9" name="totalPeriodenFG" tableColumnId="9"/>
      <queryTableField id="10" name="antalFysiskaAret" tableColumnId="10"/>
      <queryTableField id="11" name="antalFysiskaAretFG" tableColumnId="11"/>
      <queryTableField id="12" name="antalJuridiskaAret" tableColumnId="12"/>
      <queryTableField id="13" name="antalJuridiskaAretFG" tableColumnId="13"/>
      <queryTableField id="14" name="shrAretJur" tableColumnId="14"/>
      <queryTableField id="15" name="shrJurAretFG" tableColumnId="15"/>
      <queryTableField id="16" name="totalAret" tableColumnId="16"/>
      <queryTableField id="17" name="totalAretFG" tableColumnId="1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bdsql12 BDnewRegistrations getAggMakes" backgroundRefresh="0" growShrinkType="overwriteClear" adjustColumnWidth="0" connectionId="8" xr16:uid="{00000000-0016-0000-0E00-00000B000000}" autoFormatId="16" applyNumberFormats="0" applyBorderFormats="0" applyFontFormats="0" applyPatternFormats="0" applyAlignmentFormats="0" applyWidthHeightFormats="0">
  <queryTableRefresh nextId="10">
    <queryTableFields count="9">
      <queryTableField id="1" name="fabrikat" tableColumnId="1"/>
      <queryTableField id="2" name="antalPerioden" tableColumnId="2"/>
      <queryTableField id="3" name="antalPeriodenFG" tableColumnId="3"/>
      <queryTableField id="4" name="antalAret" tableColumnId="4"/>
      <queryTableField id="5" name="antalAretFG" tableColumnId="5"/>
      <queryTableField id="6" name="changePerioden" tableColumnId="6"/>
      <queryTableField id="7" name="changeAret" tableColumnId="7"/>
      <queryTableField id="8" name="shrAret" tableColumnId="8"/>
      <queryTableField id="9" name="shrAretFG"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joklass" xr10:uid="{00000000-0013-0000-FFFF-FFFF01000000}" sourceName="miljoklass">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iljoklass" xr10:uid="{00000000-0014-0000-FFFF-FFFF01000000}" cache="Slicer_miljoklass" caption="Filtrera listan på typ" columnCount="4" rowHeight="2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_bdsql12_Transportstyrelsen_sumPrelNyregImportPBTotaler_1" displayName="Table_bdsql12_Transportstyrelsen_sumPrelNyregImportPBTotaler_1" ref="Q26:T29" tableType="queryTable" headerRowCount="0" totalsRowShown="0" headerRowDxfId="470" dataDxfId="469">
  <tableColumns count="4">
    <tableColumn id="1" xr3:uid="{00000000-0010-0000-0000-000001000000}" uniqueName="1" name="Grupp" queryTableFieldId="1" dataDxfId="468"/>
    <tableColumn id="2" xr3:uid="{00000000-0010-0000-0000-000002000000}" uniqueName="2" name="År" queryTableFieldId="2" headerRowDxfId="467" dataDxfId="466"/>
    <tableColumn id="3" xr3:uid="{00000000-0010-0000-0000-000003000000}" uniqueName="3" name="Månaden" queryTableFieldId="3" headerRowDxfId="465" dataDxfId="464"/>
    <tableColumn id="4" xr3:uid="{00000000-0010-0000-0000-000004000000}" uniqueName="4" name="YTD" queryTableFieldId="4" headerRowDxfId="463" dataDxfId="46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C000000}" name="Table_bdsql12_BDmodell_getAggModelsFuelTypeLB" displayName="Table_bdsql12_BDmodell_getAggModelsFuelTypeLB" ref="A7:L37" tableType="queryTable" totalsRowCount="1" headerRowDxfId="143" dataDxfId="142" totalsRowDxfId="141">
  <tableColumns count="12">
    <tableColumn id="1" xr3:uid="{00000000-0010-0000-0C00-000001000000}" uniqueName="1" name="no" queryTableFieldId="1" dataDxfId="140" totalsRowDxfId="139"/>
    <tableColumn id="2" xr3:uid="{00000000-0010-0000-0C00-000002000000}" uniqueName="2" name="modell" totalsRowLabel="Totalt" queryTableFieldId="2" dataDxfId="138" totalsRowDxfId="137"/>
    <tableColumn id="3" xr3:uid="{00000000-0010-0000-0C00-000003000000}" uniqueName="3" name="antalPerioden" totalsRowFunction="sum" queryTableFieldId="3" dataDxfId="136" totalsRowDxfId="135"/>
    <tableColumn id="4" xr3:uid="{00000000-0010-0000-0C00-000004000000}" uniqueName="4" name="antalFGPeriod" totalsRowFunction="sum" queryTableFieldId="4" dataDxfId="134" totalsRowDxfId="133"/>
    <tableColumn id="5" xr3:uid="{00000000-0010-0000-0C00-000005000000}" uniqueName="5" name="antalÅret" totalsRowFunction="sum" queryTableFieldId="5" dataDxfId="132" totalsRowDxfId="131"/>
    <tableColumn id="6" xr3:uid="{00000000-0010-0000-0C00-000006000000}" uniqueName="6" name="antalFGAr" totalsRowFunction="sum" queryTableFieldId="6" dataDxfId="130" totalsRowDxfId="129"/>
    <tableColumn id="7" xr3:uid="{00000000-0010-0000-0C00-000007000000}" uniqueName="7" name="changePeriod" totalsRowFunction="custom" queryTableFieldId="7" dataDxfId="128" totalsRowDxfId="127">
      <totalsRowFormula>IF(Table_bdsql12_BDmodell_getAggModelsFuelTypeLB[[#Totals],[antalFGPeriod]] &gt; 0,(Table_bdsql12_BDmodell_getAggModelsFuelTypeLB[[#Totals],[antalPerioden]] - Table_bdsql12_BDmodell_getAggModelsFuelTypeLB[[#Totals],[antalFGPeriod]]) / Table_bdsql12_BDmodell_getAggModelsFuelTypeLB[[#Totals],[antalFGPeriod]] *100,0)</totalsRowFormula>
    </tableColumn>
    <tableColumn id="8" xr3:uid="{00000000-0010-0000-0C00-000008000000}" uniqueName="8" name="changeAret" totalsRowFunction="custom" queryTableFieldId="8" dataDxfId="126" totalsRowDxfId="125">
      <totalsRowFormula>IF(Table_bdsql12_BDmodell_getAggModelsFuelTypeLB[[#Totals],[antalFGAr]] &gt; 0,(Table_bdsql12_BDmodell_getAggModelsFuelTypeLB[[#Totals],[antalÅret]] - Table_bdsql12_BDmodell_getAggModelsFuelTypeLB[[#Totals],[antalFGAr]]) / Table_bdsql12_BDmodell_getAggModelsFuelTypeLB[[#Totals],[antalFGAr]] * 100,0)</totalsRowFormula>
    </tableColumn>
    <tableColumn id="9" xr3:uid="{00000000-0010-0000-0C00-000009000000}" uniqueName="9" name="shrPeriod" totalsRowFunction="custom" queryTableFieldId="9" dataDxfId="124" totalsRowDxfId="123">
      <totalsRowFormula>TEXT(100,"0,0")</totalsRowFormula>
    </tableColumn>
    <tableColumn id="10" xr3:uid="{00000000-0010-0000-0C00-00000A000000}" uniqueName="10" name="shrYear" totalsRowFunction="custom" queryTableFieldId="10" dataDxfId="122" totalsRowDxfId="121">
      <totalsRowFormula>TEXT(100,"0,0")</totalsRowFormula>
    </tableColumn>
    <tableColumn id="11" xr3:uid="{00000000-0010-0000-0C00-00000B000000}" uniqueName="11" name="shrPrevPeriod" totalsRowFunction="custom" queryTableFieldId="11" dataDxfId="120" totalsRowDxfId="119">
      <totalsRowFormula>TEXT(100,"0,0")</totalsRowFormula>
    </tableColumn>
    <tableColumn id="12" xr3:uid="{00000000-0010-0000-0C00-00000C000000}" uniqueName="12" name="shrPrevYear" totalsRowFunction="custom" queryTableFieldId="12" dataDxfId="118" totalsRowDxfId="117">
      <totalsRowFormula>TEXT(100,"0,0")</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_ExternalData_1" displayName="Table_ExternalData_1" ref="A7:I16" tableType="queryTable" totalsRowCount="1" headerRowDxfId="116" dataDxfId="115" totalsRowDxfId="114">
  <autoFilter ref="A7:I15" xr:uid="{00000000-0009-0000-0100-000008000000}"/>
  <tableColumns count="9">
    <tableColumn id="1" xr3:uid="{00000000-0010-0000-0D00-000001000000}" uniqueName="1" name="fabrikat" totalsRowLabel="Totalt" queryTableFieldId="1" dataDxfId="113" totalsRowDxfId="112"/>
    <tableColumn id="2" xr3:uid="{00000000-0010-0000-0D00-000002000000}" uniqueName="2" name="antalPerioden" totalsRowFunction="sum" queryTableFieldId="2" dataDxfId="111" totalsRowDxfId="110"/>
    <tableColumn id="3" xr3:uid="{00000000-0010-0000-0D00-000003000000}" uniqueName="3" name="antalPeriodenFG" totalsRowFunction="sum" queryTableFieldId="3" dataDxfId="109" totalsRowDxfId="108"/>
    <tableColumn id="4" xr3:uid="{00000000-0010-0000-0D00-000004000000}" uniqueName="4" name="antalAret" totalsRowFunction="sum" queryTableFieldId="4" dataDxfId="107" totalsRowDxfId="106"/>
    <tableColumn id="5" xr3:uid="{00000000-0010-0000-0D00-000005000000}" uniqueName="5" name="antalAretFG" totalsRowFunction="sum" queryTableFieldId="5" dataDxfId="105" totalsRowDxfId="104"/>
    <tableColumn id="6" xr3:uid="{00000000-0010-0000-0D00-000006000000}" uniqueName="6" name="changePerioden" totalsRowFunction="custom" queryTableFieldId="6" dataDxfId="103" totalsRowDxfId="102">
      <totalsRowFormula>IF(Table_ExternalData_1[[#Totals],[antalPeriodenFG]] &gt; 0,( Table_ExternalData_1[[#Totals],[antalPerioden]] - Table_ExternalData_1[[#Totals],[antalPeriodenFG]] ) / Table_ExternalData_1[[#Totals],[antalPeriodenFG]] * 100,0)</totalsRowFormula>
    </tableColumn>
    <tableColumn id="7" xr3:uid="{00000000-0010-0000-0D00-000007000000}" uniqueName="7" name="changeAret" totalsRowFunction="custom" queryTableFieldId="7" dataDxfId="101" totalsRowDxfId="100">
      <totalsRowFormula>IF(Table_ExternalData_1[[#Totals],[antalAretFG]] &gt; 0,( Table_ExternalData_1[[#Totals],[antalAret]] - Table_ExternalData_1[[#Totals],[antalAretFG]] ) / Table_ExternalData_1[[#Totals],[antalAretFG]] * 100,0)</totalsRowFormula>
    </tableColumn>
    <tableColumn id="8" xr3:uid="{00000000-0010-0000-0D00-000008000000}" uniqueName="8" name="shrAret" totalsRowFunction="custom" queryTableFieldId="8" dataDxfId="99" totalsRowDxfId="98">
      <totalsRowFormula>TEXT(100,"0,0")</totalsRowFormula>
    </tableColumn>
    <tableColumn id="9" xr3:uid="{00000000-0010-0000-0D00-000009000000}" uniqueName="9" name="shrAretFG" totalsRowFunction="custom" queryTableFieldId="9" dataDxfId="97" totalsRowDxfId="96">
      <totalsRowFormula>TEXT(100,"0,0")</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getAggBuss" displayName="getAggBuss" ref="A31:I42" tableType="queryTable" totalsRowCount="1" headerRowDxfId="95" dataDxfId="94" totalsRowDxfId="93">
  <tableColumns count="9">
    <tableColumn id="1" xr3:uid="{00000000-0010-0000-0E00-000001000000}" uniqueName="1" name="fabrikat" totalsRowLabel="Total" queryTableFieldId="1" dataDxfId="92" totalsRowDxfId="91"/>
    <tableColumn id="2" xr3:uid="{00000000-0010-0000-0E00-000002000000}" uniqueName="2" name="antalPerioden" totalsRowFunction="sum" queryTableFieldId="2" dataDxfId="90" totalsRowDxfId="89"/>
    <tableColumn id="3" xr3:uid="{00000000-0010-0000-0E00-000003000000}" uniqueName="3" name="antalPeriodenFG" totalsRowFunction="sum" queryTableFieldId="3" dataDxfId="88" totalsRowDxfId="87"/>
    <tableColumn id="4" xr3:uid="{00000000-0010-0000-0E00-000004000000}" uniqueName="4" name="antalAret" totalsRowFunction="sum" queryTableFieldId="4" dataDxfId="86" totalsRowDxfId="85"/>
    <tableColumn id="5" xr3:uid="{00000000-0010-0000-0E00-000005000000}" uniqueName="5" name="antalAretFG" totalsRowFunction="sum" queryTableFieldId="5" dataDxfId="84" totalsRowDxfId="83"/>
    <tableColumn id="6" xr3:uid="{00000000-0010-0000-0E00-000006000000}" uniqueName="6" name="changePerioden" totalsRowFunction="custom" queryTableFieldId="6" dataDxfId="82" totalsRowDxfId="81">
      <totalsRowFormula>IF(getAggBuss[[#Totals],[antalPeriodenFG]] &gt; 0,( getAggBuss[[#Totals],[antalPerioden]] - getAggBuss[[#Totals],[antalPeriodenFG]] ) / getAggBuss[[#Totals],[antalPeriodenFG]] * 100,0)</totalsRowFormula>
    </tableColumn>
    <tableColumn id="7" xr3:uid="{00000000-0010-0000-0E00-000007000000}" uniqueName="7" name="changeAret" totalsRowFunction="custom" queryTableFieldId="7" dataDxfId="80" totalsRowDxfId="79">
      <totalsRowFormula>IF(getAggBuss[[#Totals],[antalAretFG]] &gt; 0,( getAggBuss[[#Totals],[antalAret]] - getAggBuss[[#Totals],[antalAretFG]] ) / getAggBuss[[#Totals],[antalAretFG]] * 100,0)</totalsRowFormula>
    </tableColumn>
    <tableColumn id="8" xr3:uid="{00000000-0010-0000-0E00-000008000000}" uniqueName="8" name="shrAret" totalsRowFunction="custom" queryTableFieldId="8" dataDxfId="78" totalsRowDxfId="77">
      <totalsRowFormula>TEXT(100,"0,0")</totalsRowFormula>
    </tableColumn>
    <tableColumn id="9" xr3:uid="{00000000-0010-0000-0E00-000009000000}" uniqueName="9" name="shrAretFG" totalsRowFunction="custom" queryTableFieldId="9" dataDxfId="76" totalsRowDxfId="75">
      <totalsRowFormula>TEXT(100,"0,0")</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getAggBussAll" displayName="getAggBussAll" ref="A8:I22" tableType="queryTable" totalsRowCount="1" headerRowDxfId="74" dataDxfId="73" totalsRowDxfId="72">
  <tableColumns count="9">
    <tableColumn id="1" xr3:uid="{00000000-0010-0000-0F00-000001000000}" uniqueName="1" name="fabrikat" totalsRowLabel="Total" queryTableFieldId="1" dataDxfId="71" totalsRowDxfId="70"/>
    <tableColumn id="2" xr3:uid="{00000000-0010-0000-0F00-000002000000}" uniqueName="2" name="antalPerioden" totalsRowFunction="sum" queryTableFieldId="2" dataDxfId="69" totalsRowDxfId="68"/>
    <tableColumn id="3" xr3:uid="{00000000-0010-0000-0F00-000003000000}" uniqueName="3" name="antalPeriodenFG" totalsRowFunction="sum" queryTableFieldId="3" dataDxfId="67" totalsRowDxfId="66"/>
    <tableColumn id="4" xr3:uid="{00000000-0010-0000-0F00-000004000000}" uniqueName="4" name="antalAret" totalsRowFunction="sum" queryTableFieldId="4" dataDxfId="65" totalsRowDxfId="64"/>
    <tableColumn id="5" xr3:uid="{00000000-0010-0000-0F00-000005000000}" uniqueName="5" name="antalAretFG" totalsRowFunction="sum" queryTableFieldId="5" dataDxfId="63" totalsRowDxfId="62"/>
    <tableColumn id="6" xr3:uid="{00000000-0010-0000-0F00-000006000000}" uniqueName="6" name="changePerioden" totalsRowFunction="custom" queryTableFieldId="6" dataDxfId="61" totalsRowDxfId="60">
      <totalsRowFormula>IF(getAggBussAll[[#Totals],[antalPeriodenFG]] &gt; 0,( getAggBussAll[[#Totals],[antalPerioden]] - getAggBussAll[[#Totals],[antalPeriodenFG]] ) / getAggBussAll[[#Totals],[antalPeriodenFG]] * 100,0)</totalsRowFormula>
    </tableColumn>
    <tableColumn id="7" xr3:uid="{00000000-0010-0000-0F00-000007000000}" uniqueName="7" name="changeAret" totalsRowFunction="custom" queryTableFieldId="7" dataDxfId="59" totalsRowDxfId="58">
      <totalsRowFormula>IF(getAggBussAll[[#Totals],[antalAretFG]] &gt; 0,( getAggBussAll[[#Totals],[antalAret]] - getAggBussAll[[#Totals],[antalAretFG]] ) / getAggBussAll[[#Totals],[antalAretFG]] * 100,0)</totalsRowFormula>
    </tableColumn>
    <tableColumn id="8" xr3:uid="{00000000-0010-0000-0F00-000008000000}" uniqueName="8" name="shrAret" totalsRowFunction="custom" queryTableFieldId="8" dataDxfId="57" totalsRowDxfId="56">
      <totalsRowFormula>TEXT(100,"0,0")</totalsRowFormula>
    </tableColumn>
    <tableColumn id="9" xr3:uid="{00000000-0010-0000-0F00-000009000000}" uniqueName="9" name="shrAretFG" totalsRowFunction="custom" queryTableFieldId="9" dataDxfId="55" totalsRowDxfId="54">
      <totalsRowFormula>TEXT(100,"0,0")</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0000000}" name="Table_bdsql12_BDnewRegistrations_getAggBussEL" displayName="Table_bdsql12_BDnewRegistrations_getAggBussEL" ref="A7:I15" tableType="queryTable" totalsRowCount="1" headerRowDxfId="53" dataDxfId="52" totalsRowDxfId="51">
  <tableColumns count="9">
    <tableColumn id="1" xr3:uid="{00000000-0010-0000-1000-000001000000}" uniqueName="1" name="fabrikat" totalsRowLabel="Totalt" queryTableFieldId="1" dataDxfId="50" totalsRowDxfId="49"/>
    <tableColumn id="2" xr3:uid="{00000000-0010-0000-1000-000002000000}" uniqueName="2" name="antalPerioden" totalsRowFunction="sum" queryTableFieldId="2" dataDxfId="48" totalsRowDxfId="47"/>
    <tableColumn id="3" xr3:uid="{00000000-0010-0000-1000-000003000000}" uniqueName="3" name="antalPeriodenFG" totalsRowFunction="sum" queryTableFieldId="3" dataDxfId="46" totalsRowDxfId="45"/>
    <tableColumn id="4" xr3:uid="{00000000-0010-0000-1000-000004000000}" uniqueName="4" name="antalAret" totalsRowFunction="sum" queryTableFieldId="4" dataDxfId="44" totalsRowDxfId="43"/>
    <tableColumn id="5" xr3:uid="{00000000-0010-0000-1000-000005000000}" uniqueName="5" name="antalAretFG" totalsRowFunction="sum" queryTableFieldId="5" dataDxfId="42" totalsRowDxfId="41"/>
    <tableColumn id="6" xr3:uid="{00000000-0010-0000-1000-000006000000}" uniqueName="6" name="changePerioden" totalsRowFunction="custom" queryTableFieldId="6" dataDxfId="40" totalsRowDxfId="39">
      <totalsRowFormula>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totalsRowFormula>
    </tableColumn>
    <tableColumn id="7" xr3:uid="{00000000-0010-0000-1000-000007000000}" uniqueName="7" name="changeAret" totalsRowFunction="custom" queryTableFieldId="7" dataDxfId="38" totalsRowDxfId="37">
      <totalsRowFormula>IF(Table_bdsql12_BDnewRegistrations_getAggBussEL[[#Totals],[antalAretFG]] &gt; 0,( Table_bdsql12_BDnewRegistrations_getAggBussEL[[#Totals],[antalAret]] - Table_bdsql12_BDnewRegistrations_getAggBussEL[[#Totals],[antalAretFG]] ) / Table_bdsql12_BDnewRegistrations_getAggBussEL[[#Totals],[antalAretFG]] * 100,0)</totalsRowFormula>
    </tableColumn>
    <tableColumn id="8" xr3:uid="{00000000-0010-0000-1000-000008000000}" uniqueName="8" name="shrAret" totalsRowFunction="custom" queryTableFieldId="8" dataDxfId="36" totalsRowDxfId="35">
      <totalsRowFormula>TEXT(100,"0,0")</totalsRowFormula>
    </tableColumn>
    <tableColumn id="9" xr3:uid="{00000000-0010-0000-1000-000009000000}" uniqueName="9" name="shrAretFG" totalsRowFunction="custom" queryTableFieldId="9" dataDxfId="34" totalsRowDxfId="33">
      <totalsRowFormula>TEXT(100,"0,0")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etAggModelsPB" displayName="getAggModelsPB" ref="A7:L357" tableType="queryTable" totalsRowCount="1" headerRowDxfId="461" dataDxfId="460" totalsRowDxfId="459">
  <tableColumns count="12">
    <tableColumn id="1" xr3:uid="{00000000-0010-0000-0100-000001000000}" uniqueName="1" name="no" queryTableFieldId="1" dataDxfId="458" totalsRowDxfId="457"/>
    <tableColumn id="2" xr3:uid="{00000000-0010-0000-0100-000002000000}" uniqueName="2" name="modell" totalsRowLabel="Totalt" queryTableFieldId="2" dataDxfId="456" totalsRowDxfId="455"/>
    <tableColumn id="3" xr3:uid="{00000000-0010-0000-0100-000003000000}" uniqueName="3" name="antalPerioden" totalsRowFunction="sum" queryTableFieldId="3" dataDxfId="454" totalsRowDxfId="453"/>
    <tableColumn id="4" xr3:uid="{00000000-0010-0000-0100-000004000000}" uniqueName="4" name="antalFGPeriod" totalsRowFunction="sum" queryTableFieldId="4" dataDxfId="452" totalsRowDxfId="451"/>
    <tableColumn id="5" xr3:uid="{00000000-0010-0000-0100-000005000000}" uniqueName="5" name="antalÅret" totalsRowFunction="sum" queryTableFieldId="5" dataDxfId="450" totalsRowDxfId="449"/>
    <tableColumn id="6" xr3:uid="{00000000-0010-0000-0100-000006000000}" uniqueName="6" name="antalFGAr" totalsRowFunction="sum" queryTableFieldId="6" dataDxfId="448" totalsRowDxfId="447"/>
    <tableColumn id="7" xr3:uid="{00000000-0010-0000-0100-000007000000}" uniqueName="7" name="changePeriod" totalsRowFunction="custom" queryTableFieldId="7" dataDxfId="446" totalsRowDxfId="445">
      <totalsRowFormula>IF(getAggModelsPB[[#Totals],[antalFGPeriod]] &gt; 0,(getAggModelsPB[[#Totals],[antalPerioden]] - getAggModelsPB[[#Totals],[antalFGPeriod]] ) / getAggModelsPB[[#Totals],[antalFGPeriod]] * 100,0)</totalsRowFormula>
    </tableColumn>
    <tableColumn id="8" xr3:uid="{00000000-0010-0000-0100-000008000000}" uniqueName="8" name="changeAret" totalsRowFunction="custom" queryTableFieldId="8" dataDxfId="444" totalsRowDxfId="443">
      <totalsRowFormula>IF(getAggModelsPB[[#Totals],[antalFGAr]] &gt; 0,(getAggModelsPB[[#Totals],[antalÅret]] - getAggModelsPB[[#Totals],[antalFGAr]]) / getAggModelsPB[[#Totals],[antalFGAr]] * 100,0)</totalsRowFormula>
    </tableColumn>
    <tableColumn id="9" xr3:uid="{00000000-0010-0000-0100-000009000000}" uniqueName="9" name="shrPeriod" totalsRowFunction="custom" queryTableFieldId="9" dataDxfId="442" totalsRowDxfId="441">
      <totalsRowFormula>TEXT(100,"0,00")</totalsRowFormula>
    </tableColumn>
    <tableColumn id="10" xr3:uid="{00000000-0010-0000-0100-00000A000000}" uniqueName="10" name="shrYear" totalsRowFunction="custom" queryTableFieldId="10" dataDxfId="440" totalsRowDxfId="439">
      <totalsRowFormula>TEXT(100,"0,00")</totalsRowFormula>
    </tableColumn>
    <tableColumn id="11" xr3:uid="{00000000-0010-0000-0100-00000B000000}" uniqueName="11" name="shrPrevPeriod" totalsRowFunction="custom" queryTableFieldId="11" dataDxfId="438" totalsRowDxfId="437">
      <totalsRowFormula>TEXT(100,"0,00")</totalsRowFormula>
    </tableColumn>
    <tableColumn id="12" xr3:uid="{00000000-0010-0000-0100-00000C000000}" uniqueName="12" name="shrPrevYear" totalsRowFunction="custom" queryTableFieldId="12" dataDxfId="436" totalsRowDxfId="435">
      <totalsRowFormula>TEXT(100,"0,00")</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2000000}" name="getAggPBFuelTypes" displayName="getAggPBFuelTypes" ref="A7:J16" tableType="queryTable" totalsRowCount="1" headerRowDxfId="368" dataDxfId="367" totalsRowDxfId="365" tableBorderDxfId="366" totalsRowBorderDxfId="364">
  <sortState xmlns:xlrd2="http://schemas.microsoft.com/office/spreadsheetml/2017/richdata2" ref="A8:J15">
    <sortCondition descending="1" ref="B8"/>
  </sortState>
  <tableColumns count="10">
    <tableColumn id="1" xr3:uid="{00000000-0010-0000-0200-000001000000}" uniqueName="1" name="drivmedel" totalsRowLabel="Totalt" queryTableFieldId="1" dataDxfId="363" totalsRowDxfId="362"/>
    <tableColumn id="2" xr3:uid="{00000000-0010-0000-0200-000002000000}" uniqueName="2" name="antalPerioden" totalsRowFunction="sum" queryTableFieldId="2" dataDxfId="361" totalsRowDxfId="360"/>
    <tableColumn id="3" xr3:uid="{00000000-0010-0000-0200-000003000000}" uniqueName="3" name="antalPeriodenFG" totalsRowFunction="sum" queryTableFieldId="3" dataDxfId="359" totalsRowDxfId="358"/>
    <tableColumn id="6" xr3:uid="{00000000-0010-0000-0200-000006000000}" uniqueName="6" name="Column1" totalsRowFunction="sum" queryTableFieldId="6" dataDxfId="357" totalsRowDxfId="356">
      <calculatedColumnFormula>IF(getAggPBFuelTypes[[#This Row],[antalPerioden]]&gt;0,((B8/getAggPBFuelTypes[[#Totals],[antalPerioden]]) * 100),0)</calculatedColumnFormula>
    </tableColumn>
    <tableColumn id="7" xr3:uid="{00000000-0010-0000-0200-000007000000}" uniqueName="7" name="Column2" totalsRowFunction="custom" queryTableFieldId="7" dataDxfId="355" totalsRowDxfId="354">
      <calculatedColumnFormula>((C8/getAggPBFuelTypes[[#Totals],[antalPeriodenFG]]) * 100)</calculatedColumnFormula>
      <totalsRowFormula>SUBTOTAL(109,getAggPBFuelTypes[Column1])</totalsRowFormula>
    </tableColumn>
    <tableColumn id="4" xr3:uid="{00000000-0010-0000-0200-000004000000}" uniqueName="4" name="antalAret" totalsRowFunction="sum" queryTableFieldId="4" dataDxfId="353" totalsRowDxfId="352"/>
    <tableColumn id="5" xr3:uid="{00000000-0010-0000-0200-000005000000}" uniqueName="5" name="antalAretFG" totalsRowFunction="sum" queryTableFieldId="5" dataDxfId="351" totalsRowDxfId="350"/>
    <tableColumn id="8" xr3:uid="{00000000-0010-0000-0200-000008000000}" uniqueName="8" name="Column3" totalsRowFunction="custom" queryTableFieldId="9" dataDxfId="349" totalsRowDxfId="348">
      <calculatedColumnFormula>((F8/getAggPBFuelTypes[[#Totals],[antalAret]]) * 100)</calculatedColumnFormula>
      <totalsRowFormula>SUBTOTAL(109,getAggPBFuelTypes[Column1])</totalsRowFormula>
    </tableColumn>
    <tableColumn id="9" xr3:uid="{00000000-0010-0000-0200-000009000000}" uniqueName="9" name="Column4" totalsRowFunction="custom" queryTableFieldId="8" dataDxfId="347" totalsRowDxfId="346">
      <calculatedColumnFormula>((G8/getAggPBFuelTypes[[#Totals],[antalAretFG]]) * 100)</calculatedColumnFormula>
      <totalsRowFormula>SUBTOTAL(109,getAggPBFuelTypes[Column1])</totalsRowFormula>
    </tableColumn>
    <tableColumn id="10" xr3:uid="{00000000-0010-0000-0200-00000A000000}" uniqueName="10" name="Column5" queryTableFieldId="10" dataDxfId="345" totalsRowDxfId="344">
      <calculatedColumnFormula>IF(G8 = 0,0,(F8-G8)/G8)</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getAggRechargeModels" displayName="getAggRechargeModels" ref="A41:M270" tableType="queryTable" totalsRowCount="1" headerRowDxfId="343" dataDxfId="342" totalsRowDxfId="341">
  <autoFilter ref="A41:M269" xr:uid="{00000000-0009-0000-0100-000004000000}"/>
  <tableColumns count="13">
    <tableColumn id="1" xr3:uid="{00000000-0010-0000-0300-000001000000}" uniqueName="1" name="no" queryTableFieldId="1" dataDxfId="340" totalsRowDxfId="339"/>
    <tableColumn id="2" xr3:uid="{00000000-0010-0000-0300-000002000000}" uniqueName="2" name="modben" totalsRowLabel="Totalt" queryTableFieldId="2" dataDxfId="338" totalsRowDxfId="337"/>
    <tableColumn id="3" xr3:uid="{00000000-0010-0000-0300-000003000000}" uniqueName="3" name="miljoklass" queryTableFieldId="3" dataDxfId="336" totalsRowDxfId="335"/>
    <tableColumn id="4" xr3:uid="{00000000-0010-0000-0300-000004000000}" uniqueName="4" name="antalPerioden" totalsRowFunction="sum" queryTableFieldId="4" dataDxfId="334" totalsRowDxfId="333"/>
    <tableColumn id="5" xr3:uid="{00000000-0010-0000-0300-000005000000}" uniqueName="5" name="antalFGPeriod" totalsRowFunction="sum" queryTableFieldId="5" dataDxfId="332" totalsRowDxfId="331"/>
    <tableColumn id="6" xr3:uid="{00000000-0010-0000-0300-000006000000}" uniqueName="6" name="antalÅret" totalsRowFunction="sum" queryTableFieldId="6" dataDxfId="330" totalsRowDxfId="329"/>
    <tableColumn id="7" xr3:uid="{00000000-0010-0000-0300-000007000000}" uniqueName="7" name="antalFGAr" totalsRowFunction="sum" queryTableFieldId="7" dataDxfId="328" totalsRowDxfId="327"/>
    <tableColumn id="8" xr3:uid="{00000000-0010-0000-0300-000008000000}" uniqueName="8" name="changePeriod" totalsRowFunction="custom" queryTableFieldId="8" dataDxfId="326" totalsRowDxfId="325">
      <totalsRowFormula>IF(getAggRechargeModels[[#Totals],[antalFGPeriod]] &gt;0,(getAggRechargeModels[[#Totals],[antalPerioden]] - getAggRechargeModels[[#Totals],[antalFGPeriod]] ) / getAggRechargeModels[[#Totals],[antalFGPeriod]] *100,0)</totalsRowFormula>
    </tableColumn>
    <tableColumn id="9" xr3:uid="{00000000-0010-0000-0300-000009000000}" uniqueName="9" name="changeAret" totalsRowFunction="custom" queryTableFieldId="9" dataDxfId="324" totalsRowDxfId="323">
      <totalsRowFormula>IF(getAggRechargeModels[[#Totals],[antalFGAr]] &gt; 0,( getAggRechargeModels[[#Totals],[antalÅret]] - getAggRechargeModels[[#Totals],[antalFGAr]] ) / getAggRechargeModels[[#Totals],[antalFGAr]] * 100,0)</totalsRowFormula>
    </tableColumn>
    <tableColumn id="10" xr3:uid="{00000000-0010-0000-0300-00000A000000}" uniqueName="10" name="shrPeriod" totalsRowFunction="custom" queryTableFieldId="10" dataDxfId="322" totalsRowDxfId="321">
      <totalsRowFormula>IF(getAggModelsPB[[#Totals],[antalPerioden]] &gt; 0,getAggRechargeModels[[#Totals],[antalPerioden]]  / getAggModelsPB[[#Totals],[antalPerioden]] * 100,0)</totalsRowFormula>
    </tableColumn>
    <tableColumn id="11" xr3:uid="{00000000-0010-0000-0300-00000B000000}" uniqueName="11" name="shrYear" totalsRowFunction="custom" queryTableFieldId="11" dataDxfId="320" totalsRowDxfId="319">
      <totalsRowFormula>IF(getAggModelsPB[[#Totals],[antalÅret]] &gt; 0,getAggRechargeModels[[#Totals],[antalÅret]]  / getAggModelsPB[[#Totals],[antalÅret]] * 100,0)</totalsRowFormula>
    </tableColumn>
    <tableColumn id="12" xr3:uid="{00000000-0010-0000-0300-00000C000000}" uniqueName="12" name="shrPrevPeriod" totalsRowFunction="custom" queryTableFieldId="12" dataDxfId="318" totalsRowDxfId="317">
      <totalsRowFormula>IF(getAggModelsPB[[#Totals],[antalFGPeriod]] &gt; 0,getAggRechargeModels[[#Totals],[antalFGPeriod]]  / getAggModelsPB[[#Totals],[antalFGPeriod]] * 100,0)</totalsRowFormula>
    </tableColumn>
    <tableColumn id="13" xr3:uid="{00000000-0010-0000-0300-00000D000000}" uniqueName="13" name="shrPrevYear" totalsRowFunction="custom" queryTableFieldId="13" dataDxfId="316" totalsRowDxfId="315">
      <totalsRowFormula>IF(getAggModelsPB[[#Totals],[antalFGAr]] &gt; 0,getAggRechargeModels[[#Totals],[antalFGAr]]  / getAggModelsPB[[#Totals],[antalFGAr]] * 100,0)</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getAggRechargeModels6" displayName="getAggRechargeModels6" ref="A39:M268" tableType="queryTable" totalsRowCount="1" headerRowDxfId="314" dataDxfId="313" totalsRowDxfId="312">
  <autoFilter ref="A39:M267" xr:uid="{00000000-0009-0000-0100-000005000000}">
    <filterColumn colId="0" hiddenButton="1"/>
    <filterColumn colId="1" hiddenButton="1"/>
    <filterColumn colId="2" hiddenButton="1">
      <filters>
        <filter val="El"/>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0:M267">
    <sortCondition descending="1" ref="F40"/>
  </sortState>
  <tableColumns count="13">
    <tableColumn id="1" xr3:uid="{00000000-0010-0000-0400-000001000000}" uniqueName="1" name="no" queryTableFieldId="1" dataDxfId="311" totalsRowDxfId="310"/>
    <tableColumn id="2" xr3:uid="{00000000-0010-0000-0400-000002000000}" uniqueName="2" name="modben" totalsRowLabel="Totalt" queryTableFieldId="2" dataDxfId="309" totalsRowDxfId="308"/>
    <tableColumn id="3" xr3:uid="{00000000-0010-0000-0400-000003000000}" uniqueName="3" name="miljoklass" queryTableFieldId="3" dataDxfId="307" totalsRowDxfId="306"/>
    <tableColumn id="4" xr3:uid="{00000000-0010-0000-0400-000004000000}" uniqueName="4" name="antalPerioden" totalsRowFunction="sum" queryTableFieldId="4" dataDxfId="305" totalsRowDxfId="304"/>
    <tableColumn id="5" xr3:uid="{00000000-0010-0000-0400-000005000000}" uniqueName="5" name="antalFGPeriod" totalsRowFunction="sum" queryTableFieldId="5" dataDxfId="303" totalsRowDxfId="302"/>
    <tableColumn id="6" xr3:uid="{00000000-0010-0000-0400-000006000000}" uniqueName="6" name="antalÅret" totalsRowFunction="sum" queryTableFieldId="6" dataDxfId="301" totalsRowDxfId="300"/>
    <tableColumn id="7" xr3:uid="{00000000-0010-0000-0400-000007000000}" uniqueName="7" name="antalFGAr" totalsRowFunction="sum" queryTableFieldId="7" dataDxfId="299" totalsRowDxfId="298"/>
    <tableColumn id="8" xr3:uid="{00000000-0010-0000-0400-000008000000}" uniqueName="8" name="changePeriod" totalsRowFunction="custom" queryTableFieldId="8" dataDxfId="297" totalsRowDxfId="296">
      <totalsRowFormula>IF(getAggRechargeModels6[[#Totals],[antalFGPeriod]] &gt;0,(getAggRechargeModels6[[#Totals],[antalPerioden]] - getAggRechargeModels6[[#Totals],[antalFGPeriod]] ) / getAggRechargeModels6[[#Totals],[antalFGPeriod]] *100,0)</totalsRowFormula>
    </tableColumn>
    <tableColumn id="9" xr3:uid="{00000000-0010-0000-0400-000009000000}" uniqueName="9" name="changeAret" totalsRowFunction="custom" queryTableFieldId="9" dataDxfId="295" totalsRowDxfId="294">
      <totalsRowFormula>IF(getAggRechargeModels6[[#Totals],[antalFGAr]] &gt; 0,( getAggRechargeModels6[[#Totals],[antalÅret]] - getAggRechargeModels6[[#Totals],[antalFGAr]] ) / getAggRechargeModels6[[#Totals],[antalFGAr]] * 100,0)</totalsRowFormula>
    </tableColumn>
    <tableColumn id="10" xr3:uid="{00000000-0010-0000-0400-00000A000000}" uniqueName="10" name="shrPeriod" totalsRowFunction="custom" queryTableFieldId="10" dataDxfId="293" totalsRowDxfId="292">
      <totalsRowFormula>IF(getAggModelsPB[[#Totals],[antalPerioden]] &gt; 0,getAggRechargeModels6[[#Totals],[antalPerioden]]  / getAggModelsPB[[#Totals],[antalPerioden]] * 100,0)</totalsRowFormula>
    </tableColumn>
    <tableColumn id="11" xr3:uid="{00000000-0010-0000-0400-00000B000000}" uniqueName="11" name="shrYear" totalsRowFunction="custom" queryTableFieldId="11" dataDxfId="291" totalsRowDxfId="290">
      <totalsRowFormula>IF(getAggModelsPB[[#Totals],[antalÅret]] &gt; 0,getAggRechargeModels6[[#Totals],[antalÅret]]  / getAggModelsPB[[#Totals],[antalÅret]] * 100,0)</totalsRowFormula>
    </tableColumn>
    <tableColumn id="12" xr3:uid="{00000000-0010-0000-0400-00000C000000}" uniqueName="12" name="shrPrevPeriod" totalsRowFunction="custom" queryTableFieldId="12" dataDxfId="289" totalsRowDxfId="288">
      <totalsRowFormula>IF(getAggModelsPB[[#Totals],[antalFGPeriod]] &gt; 0,getAggRechargeModels6[[#Totals],[antalFGPeriod]]  / getAggModelsPB[[#Totals],[antalFGPeriod]] * 100,0)</totalsRowFormula>
    </tableColumn>
    <tableColumn id="13" xr3:uid="{00000000-0010-0000-0400-00000D000000}" uniqueName="13" name="shrPrevYear" totalsRowFunction="custom" queryTableFieldId="13" dataDxfId="287" totalsRowDxfId="286">
      <totalsRowFormula>IF(getAggModelsPB[[#Totals],[antalFGAr]] &gt; 0,getAggRechargeModels6[[#Totals],[antalFGAr]]  / getAggModelsPB[[#Totals],[antalFGAr]] * 100,0)</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5000000}" name="getAggRechargeModels619" displayName="getAggRechargeModels619" ref="A40:M269" tableType="queryTable" totalsRowCount="1" headerRowDxfId="285" dataDxfId="284" totalsRowDxfId="283">
  <autoFilter ref="A40:M268" xr:uid="{00000000-0009-0000-0100-000012000000}">
    <filterColumn colId="0" hiddenButton="1"/>
    <filterColumn colId="1" hiddenButton="1"/>
    <filterColumn colId="2" hiddenButton="1">
      <filters>
        <filter val="Laddhybrid"/>
      </filters>
    </filterColumn>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41:M268">
    <sortCondition descending="1" ref="F43"/>
  </sortState>
  <tableColumns count="13">
    <tableColumn id="1" xr3:uid="{00000000-0010-0000-0500-000001000000}" uniqueName="1" name="no" queryTableFieldId="1" dataDxfId="282" totalsRowDxfId="281"/>
    <tableColumn id="2" xr3:uid="{00000000-0010-0000-0500-000002000000}" uniqueName="2" name="modben" totalsRowLabel="Totalt" queryTableFieldId="2" dataDxfId="280" totalsRowDxfId="279"/>
    <tableColumn id="3" xr3:uid="{00000000-0010-0000-0500-000003000000}" uniqueName="3" name="miljoklass" queryTableFieldId="3" dataDxfId="278" totalsRowDxfId="277"/>
    <tableColumn id="4" xr3:uid="{00000000-0010-0000-0500-000004000000}" uniqueName="4" name="antalPerioden" totalsRowFunction="sum" queryTableFieldId="4" dataDxfId="276" totalsRowDxfId="275"/>
    <tableColumn id="5" xr3:uid="{00000000-0010-0000-0500-000005000000}" uniqueName="5" name="antalFGPeriod" totalsRowFunction="sum" queryTableFieldId="5" dataDxfId="274" totalsRowDxfId="273"/>
    <tableColumn id="6" xr3:uid="{00000000-0010-0000-0500-000006000000}" uniqueName="6" name="antalÅret" totalsRowFunction="sum" queryTableFieldId="6" dataDxfId="272" totalsRowDxfId="271"/>
    <tableColumn id="7" xr3:uid="{00000000-0010-0000-0500-000007000000}" uniqueName="7" name="antalFGAr" totalsRowFunction="sum" queryTableFieldId="7" dataDxfId="270" totalsRowDxfId="269"/>
    <tableColumn id="8" xr3:uid="{00000000-0010-0000-0500-000008000000}" uniqueName="8" name="changePeriod" totalsRowFunction="custom" queryTableFieldId="8" dataDxfId="268" totalsRowDxfId="267">
      <totalsRowFormula>IF(getAggRechargeModels619[[#Totals],[antalFGPeriod]] &gt;0,(getAggRechargeModels619[[#Totals],[antalPerioden]] - getAggRechargeModels619[[#Totals],[antalFGPeriod]] ) / getAggRechargeModels619[[#Totals],[antalFGPeriod]] *100,0)</totalsRowFormula>
    </tableColumn>
    <tableColumn id="9" xr3:uid="{00000000-0010-0000-0500-000009000000}" uniqueName="9" name="changeAret" totalsRowFunction="custom" queryTableFieldId="9" dataDxfId="266" totalsRowDxfId="265">
      <totalsRowFormula>IF(getAggRechargeModels619[[#Totals],[antalFGAr]] &gt; 0,( getAggRechargeModels619[[#Totals],[antalÅret]] - getAggRechargeModels619[[#Totals],[antalFGAr]] ) / getAggRechargeModels619[[#Totals],[antalFGAr]] * 100,0)</totalsRowFormula>
    </tableColumn>
    <tableColumn id="10" xr3:uid="{00000000-0010-0000-0500-00000A000000}" uniqueName="10" name="shrPeriod" totalsRowFunction="custom" queryTableFieldId="10" dataDxfId="264" totalsRowDxfId="263">
      <totalsRowFormula>IF(getAggModelsPB[[#Totals],[antalPerioden]] &gt; 0,getAggRechargeModels619[[#Totals],[antalPerioden]]  / getAggModelsPB[[#Totals],[antalPerioden]] * 100,0)</totalsRowFormula>
    </tableColumn>
    <tableColumn id="11" xr3:uid="{00000000-0010-0000-0500-00000B000000}" uniqueName="11" name="shrYear" totalsRowFunction="custom" queryTableFieldId="11" dataDxfId="262" totalsRowDxfId="261">
      <totalsRowFormula>IF(getAggModelsPB[[#Totals],[antalÅret]] &gt; 0,getAggRechargeModels619[[#Totals],[antalÅret]]  / getAggModelsPB[[#Totals],[antalÅret]] * 100,0)</totalsRowFormula>
    </tableColumn>
    <tableColumn id="12" xr3:uid="{00000000-0010-0000-0500-00000C000000}" uniqueName="12" name="shrPrevPeriod" totalsRowFunction="custom" queryTableFieldId="12" dataDxfId="260" totalsRowDxfId="259">
      <totalsRowFormula>IF(getAggModelsPB[[#Totals],[antalFGPeriod]] &gt; 0,getAggRechargeModels619[[#Totals],[antalFGPeriod]]  / getAggModelsPB[[#Totals],[antalFGPeriod]] * 100,0)</totalsRowFormula>
    </tableColumn>
    <tableColumn id="13" xr3:uid="{00000000-0010-0000-0500-00000D000000}" uniqueName="13" name="shrPrevYear" totalsRowFunction="custom" queryTableFieldId="13" dataDxfId="258" totalsRowDxfId="257">
      <totalsRowFormula>IF(getAggModelsPB[[#Totals],[antalFGAr]] &gt; 0,getAggRechargeModels619[[#Totals],[antalFGAr]]  / getAggModelsPB[[#Totals],[antalFGAr]] * 100,0)</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getAggPBCO2EmissionsWLTP" displayName="getAggPBCO2EmissionsWLTP" ref="A9:K17" tableType="queryTable" headerRowDxfId="256" dataDxfId="255" totalsRowDxfId="254">
  <tableColumns count="11">
    <tableColumn id="1" xr3:uid="{00000000-0010-0000-0800-000001000000}" uniqueName="1" name="drivmedel" totalsRowLabel="Total" queryTableFieldId="1" dataDxfId="253"/>
    <tableColumn id="2" xr3:uid="{00000000-0010-0000-0800-000002000000}" uniqueName="2" name="antalPerioden" totalsRowFunction="sum" queryTableFieldId="2" dataDxfId="252" totalsRowDxfId="251"/>
    <tableColumn id="3" xr3:uid="{00000000-0010-0000-0800-000003000000}" uniqueName="3" name="antalPeriodenFG" totalsRowFunction="sum" queryTableFieldId="3" dataDxfId="250" totalsRowDxfId="249"/>
    <tableColumn id="6" xr3:uid="{00000000-0010-0000-0800-000006000000}" uniqueName="6" name="Column1" queryTableFieldId="6" dataDxfId="248" totalsRowDxfId="247">
      <calculatedColumnFormula>(B10/$B$18)*100</calculatedColumnFormula>
    </tableColumn>
    <tableColumn id="7" xr3:uid="{00000000-0010-0000-0800-000007000000}" uniqueName="7" name="Column2" queryTableFieldId="7" dataDxfId="246" totalsRowDxfId="245">
      <calculatedColumnFormula>(C10/$C$18)*100</calculatedColumnFormula>
    </tableColumn>
    <tableColumn id="4" xr3:uid="{00000000-0010-0000-0800-000004000000}" uniqueName="4" name="antalAret" totalsRowFunction="sum" queryTableFieldId="4" dataDxfId="244" totalsRowDxfId="243"/>
    <tableColumn id="5" xr3:uid="{00000000-0010-0000-0800-000005000000}" uniqueName="5" name="antalAretFG" totalsRowFunction="sum" queryTableFieldId="5" dataDxfId="242" totalsRowDxfId="241"/>
    <tableColumn id="8" xr3:uid="{00000000-0010-0000-0800-000008000000}" uniqueName="8" name="Column3" queryTableFieldId="8" dataDxfId="240">
      <calculatedColumnFormula>(F10/$F$18)*100</calculatedColumnFormula>
    </tableColumn>
    <tableColumn id="9" xr3:uid="{00000000-0010-0000-0800-000009000000}" uniqueName="9" name="Column4" queryTableFieldId="9" dataDxfId="239">
      <calculatedColumnFormula>(G10/$G$18)*100</calculatedColumnFormula>
    </tableColumn>
    <tableColumn id="10" xr3:uid="{00000000-0010-0000-0800-00000A000000}" uniqueName="10" name="Column5" queryTableFieldId="10" dataDxfId="238">
      <calculatedColumnFormula>((( B10  / C10) - 1) * 100)</calculatedColumnFormula>
    </tableColumn>
    <tableColumn id="11" xr3:uid="{00000000-0010-0000-0800-00000B000000}" uniqueName="11" name="Column6" queryTableFieldId="11" dataDxfId="237">
      <calculatedColumnFormula>((( F10  / G10) - 1) * 100)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getAggFysJur" displayName="getAggFysJur" ref="A8:Q68" tableType="queryTable" totalsRowCount="1" headerRowDxfId="236" dataDxfId="235" totalsRowDxfId="234">
  <autoFilter ref="A8:Q67" xr:uid="{00000000-0009-0000-0100-000007000000}"/>
  <tableColumns count="17">
    <tableColumn id="1" xr3:uid="{00000000-0010-0000-0A00-000001000000}" uniqueName="1" name="fabrikat" totalsRowLabel="Totalt" queryTableFieldId="1" dataDxfId="233" totalsRowDxfId="232"/>
    <tableColumn id="2" xr3:uid="{00000000-0010-0000-0A00-000002000000}" uniqueName="2" name="antalFysiska" totalsRowFunction="sum" queryTableFieldId="2" dataDxfId="231" totalsRowDxfId="230"/>
    <tableColumn id="3" xr3:uid="{00000000-0010-0000-0A00-000003000000}" uniqueName="3" name="antalFysiskaFG" totalsRowFunction="sum" queryTableFieldId="3" dataDxfId="229" totalsRowDxfId="228"/>
    <tableColumn id="4" xr3:uid="{00000000-0010-0000-0A00-000004000000}" uniqueName="4" name="antalJuridiska" totalsRowFunction="sum" queryTableFieldId="4" dataDxfId="227" totalsRowDxfId="226"/>
    <tableColumn id="5" xr3:uid="{00000000-0010-0000-0A00-000005000000}" uniqueName="5" name="antalJuridiskaFG" totalsRowFunction="sum" queryTableFieldId="5" dataDxfId="225" totalsRowDxfId="224"/>
    <tableColumn id="6" xr3:uid="{00000000-0010-0000-0A00-000006000000}" uniqueName="6" name="shrJur" totalsRowFunction="custom" queryTableFieldId="6" dataDxfId="223" totalsRowDxfId="222">
      <totalsRowFormula>IF(getAggFysJur[[#Totals],[totalPerioden]] &gt; 0,( getAggFysJur[[#Totals],[antalJuridiska]]  ) / getAggFysJur[[#Totals],[totalPerioden]] * 100,0)</totalsRowFormula>
    </tableColumn>
    <tableColumn id="7" xr3:uid="{00000000-0010-0000-0A00-000007000000}" uniqueName="7" name="shrJurFG" totalsRowFunction="custom" queryTableFieldId="7" dataDxfId="221" totalsRowDxfId="220">
      <totalsRowFormula>IF(getAggFysJur[[#Totals],[totalPeriodenFG]] &gt; 0,( getAggFysJur[[#Totals],[antalJuridiskaFG]] ) / getAggFysJur[[#Totals],[totalPeriodenFG]] * 100,0)</totalsRowFormula>
    </tableColumn>
    <tableColumn id="8" xr3:uid="{00000000-0010-0000-0A00-000008000000}" uniqueName="8" name="totalPerioden" totalsRowFunction="sum" queryTableFieldId="8" dataDxfId="219" totalsRowDxfId="218"/>
    <tableColumn id="9" xr3:uid="{00000000-0010-0000-0A00-000009000000}" uniqueName="9" name="totalPeriodenFG" totalsRowFunction="sum" queryTableFieldId="9" dataDxfId="217" totalsRowDxfId="216"/>
    <tableColumn id="10" xr3:uid="{00000000-0010-0000-0A00-00000A000000}" uniqueName="10" name="antalFysiskaAret" totalsRowFunction="sum" queryTableFieldId="10" dataDxfId="215" totalsRowDxfId="214"/>
    <tableColumn id="11" xr3:uid="{00000000-0010-0000-0A00-00000B000000}" uniqueName="11" name="antalFysiskaAretFG" totalsRowFunction="sum" queryTableFieldId="11" dataDxfId="213" totalsRowDxfId="212"/>
    <tableColumn id="12" xr3:uid="{00000000-0010-0000-0A00-00000C000000}" uniqueName="12" name="antalJuridiskaAret" totalsRowFunction="sum" queryTableFieldId="12" dataDxfId="211" totalsRowDxfId="210"/>
    <tableColumn id="13" xr3:uid="{00000000-0010-0000-0A00-00000D000000}" uniqueName="13" name="antalJuridiskaAretFG" totalsRowFunction="sum" queryTableFieldId="13" dataDxfId="209" totalsRowDxfId="208"/>
    <tableColumn id="14" xr3:uid="{00000000-0010-0000-0A00-00000E000000}" uniqueName="14" name="shrAretJur" totalsRowFunction="custom" queryTableFieldId="14" dataDxfId="207" totalsRowDxfId="206">
      <totalsRowFormula>IF(getAggFysJur[[#Totals],[totalAret]] &gt; 0,( getAggFysJur[[#Totals],[antalJuridiskaAret]] ) / getAggFysJur[[#Totals],[totalAret]] * 100,0)</totalsRowFormula>
    </tableColumn>
    <tableColumn id="15" xr3:uid="{00000000-0010-0000-0A00-00000F000000}" uniqueName="15" name="shrJurAretFG" totalsRowFunction="custom" queryTableFieldId="15" dataDxfId="205" totalsRowDxfId="204">
      <totalsRowFormula>IF(getAggFysJur[[#Totals],[totalAretFG]] &gt; 0,( getAggFysJur[[#Totals],[antalJuridiskaAretFG]] ) / getAggFysJur[[#Totals],[totalAretFG]] * 100,0)</totalsRowFormula>
    </tableColumn>
    <tableColumn id="16" xr3:uid="{00000000-0010-0000-0A00-000010000000}" uniqueName="16" name="totalAret" totalsRowFunction="sum" queryTableFieldId="16" dataDxfId="203" totalsRowDxfId="202"/>
    <tableColumn id="17" xr3:uid="{00000000-0010-0000-0A00-000011000000}" uniqueName="17" name="totalAretFG" totalsRowFunction="sum" queryTableFieldId="17" dataDxfId="201" totalsRow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Table_bdsql12_BDnewRegistrations_getAggMakes" displayName="Table_bdsql12_BDnewRegistrations_getAggMakes" ref="A7:I33" tableType="queryTable" totalsRowCount="1" headerRowDxfId="164" dataDxfId="163" totalsRowDxfId="162">
  <autoFilter ref="A7:I32" xr:uid="{00000000-0009-0000-0100-000002000000}"/>
  <tableColumns count="9">
    <tableColumn id="1" xr3:uid="{00000000-0010-0000-0B00-000001000000}" uniqueName="1" name="fabrikat" totalsRowLabel="Totalt" queryTableFieldId="1" dataDxfId="161" totalsRowDxfId="160"/>
    <tableColumn id="2" xr3:uid="{00000000-0010-0000-0B00-000002000000}" uniqueName="2" name="antalPerioden" totalsRowFunction="sum" queryTableFieldId="2" dataDxfId="159" totalsRowDxfId="158"/>
    <tableColumn id="3" xr3:uid="{00000000-0010-0000-0B00-000003000000}" uniqueName="3" name="antalPeriodenFG" totalsRowFunction="sum" queryTableFieldId="3" dataDxfId="157" totalsRowDxfId="156"/>
    <tableColumn id="4" xr3:uid="{00000000-0010-0000-0B00-000004000000}" uniqueName="4" name="antalAret" totalsRowFunction="sum" queryTableFieldId="4" dataDxfId="155" totalsRowDxfId="154"/>
    <tableColumn id="5" xr3:uid="{00000000-0010-0000-0B00-000005000000}" uniqueName="5" name="antalAretFG" totalsRowFunction="sum" queryTableFieldId="5" dataDxfId="153" totalsRowDxfId="152"/>
    <tableColumn id="6" xr3:uid="{00000000-0010-0000-0B00-000006000000}" uniqueName="6" name="changePerioden" totalsRowFunction="custom" queryTableFieldId="6" dataDxfId="151" totalsRowDxfId="150">
      <totalsRowFormula>IF(Table_bdsql12_BDnewRegistrations_getAggMakes[[#Totals],[antalPeriodenFG]] &gt; 0,( Table_bdsql12_BDnewRegistrations_getAggMakes[[#Totals],[antalPerioden]] - Table_bdsql12_BDnewRegistrations_getAggMakes[[#Totals],[antalPeriodenFG]] ) / Table_bdsql12_BDnewRegistrations_getAggMakes[[#Totals],[antalPeriodenFG]] * 100,0)</totalsRowFormula>
    </tableColumn>
    <tableColumn id="7" xr3:uid="{00000000-0010-0000-0B00-000007000000}" uniqueName="7" name="changeAret" totalsRowFunction="custom" queryTableFieldId="7" dataDxfId="149" totalsRowDxfId="148">
      <totalsRowFormula>IF(Table_bdsql12_BDnewRegistrations_getAggMakes[[#Totals],[antalAretFG]] &gt; 0,( Table_bdsql12_BDnewRegistrations_getAggMakes[[#Totals],[antalAret]] - Table_bdsql12_BDnewRegistrations_getAggMakes[[#Totals],[antalAretFG]] ) / Table_bdsql12_BDnewRegistrations_getAggMakes[[#Totals],[antalAretFG]] * 100,0)</totalsRowFormula>
    </tableColumn>
    <tableColumn id="8" xr3:uid="{00000000-0010-0000-0B00-000008000000}" uniqueName="8" name="shrAret" totalsRowFunction="custom" queryTableFieldId="8" dataDxfId="147" totalsRowDxfId="146">
      <totalsRowFormula>TEXT(100,"0,0")</totalsRowFormula>
    </tableColumn>
    <tableColumn id="9" xr3:uid="{00000000-0010-0000-0B00-000009000000}" uniqueName="9" name="shrAretFG" totalsRowFunction="custom" queryTableFieldId="9" dataDxfId="145" totalsRowDxfId="144">
      <totalsRowFormula>TEXT(100,"0,0")</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2.bin"/><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0.bin"/><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exceljet.net/functions/match-function" TargetMode="External"/><Relationship Id="rId1" Type="http://schemas.openxmlformats.org/officeDocument/2006/relationships/hyperlink" Target="https://exceljet.net/functions/match-function" TargetMode="External"/><Relationship Id="rId5" Type="http://schemas.openxmlformats.org/officeDocument/2006/relationships/table" Target="../tables/table3.xml"/><Relationship Id="rId4"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0.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Q99"/>
  <sheetViews>
    <sheetView showGridLines="0" tabSelected="1" zoomScaleNormal="100" workbookViewId="0">
      <selection activeCell="L23" sqref="L23"/>
    </sheetView>
  </sheetViews>
  <sheetFormatPr baseColWidth="10" defaultColWidth="8.83203125" defaultRowHeight="15"/>
  <cols>
    <col min="1" max="1" width="5.83203125" customWidth="1"/>
    <col min="2" max="2" width="2.5" customWidth="1"/>
    <col min="4" max="4" width="8.83203125" customWidth="1"/>
    <col min="5" max="5" width="12.6640625" customWidth="1"/>
    <col min="6" max="6" width="8.6640625" customWidth="1"/>
    <col min="8" max="8" width="10.33203125" customWidth="1"/>
    <col min="9" max="10" width="10.1640625" customWidth="1"/>
    <col min="12" max="12" width="9.5" bestFit="1" customWidth="1"/>
    <col min="15" max="15" width="10.33203125" bestFit="1" customWidth="1"/>
  </cols>
  <sheetData>
    <row r="5" spans="1:17">
      <c r="B5" s="1"/>
    </row>
    <row r="7" spans="1:17" ht="19.25" customHeight="1" thickBot="1">
      <c r="A7" s="25"/>
      <c r="B7" s="56" t="s">
        <v>469</v>
      </c>
      <c r="C7" s="56"/>
      <c r="D7" s="56"/>
      <c r="E7" s="56"/>
      <c r="F7" s="56"/>
      <c r="G7" s="56"/>
      <c r="H7" s="168" t="s">
        <v>1274</v>
      </c>
      <c r="I7" s="56"/>
    </row>
    <row r="8" spans="1:17">
      <c r="A8" s="25"/>
      <c r="B8" s="37"/>
      <c r="C8" s="25"/>
      <c r="D8" s="25"/>
      <c r="E8" s="25"/>
      <c r="F8" s="25"/>
      <c r="G8" s="25"/>
      <c r="H8" s="25"/>
      <c r="I8" s="25"/>
      <c r="J8" s="25"/>
    </row>
    <row r="9" spans="1:17">
      <c r="A9" s="25"/>
      <c r="B9" s="37"/>
      <c r="C9" s="25"/>
      <c r="D9" s="25"/>
      <c r="E9" s="25"/>
      <c r="F9" s="25"/>
      <c r="G9" s="25"/>
      <c r="H9" s="25"/>
      <c r="I9" s="25"/>
      <c r="J9" s="25"/>
    </row>
    <row r="10" spans="1:17" ht="18">
      <c r="A10" s="25"/>
      <c r="B10" s="25"/>
      <c r="C10" s="226" t="s">
        <v>582</v>
      </c>
      <c r="D10" s="226"/>
      <c r="E10" s="226"/>
      <c r="F10" s="226"/>
      <c r="G10" s="226"/>
      <c r="H10" s="226"/>
      <c r="I10" s="226"/>
      <c r="J10" s="49"/>
    </row>
    <row r="11" spans="1:17" ht="14" customHeight="1">
      <c r="A11" s="25"/>
      <c r="B11" s="25"/>
      <c r="C11" s="25"/>
      <c r="D11" s="25"/>
      <c r="E11" s="25"/>
      <c r="F11" s="25"/>
      <c r="G11" s="25"/>
      <c r="H11" s="25"/>
      <c r="I11" s="25"/>
      <c r="J11" s="25"/>
    </row>
    <row r="12" spans="1:17" ht="14" customHeight="1">
      <c r="A12" s="25"/>
      <c r="B12" s="38"/>
      <c r="C12" s="38"/>
      <c r="D12" s="38"/>
      <c r="E12" s="25"/>
      <c r="F12" s="39" t="str">
        <f>D79</f>
        <v xml:space="preserve"> 2023-09</v>
      </c>
      <c r="G12" s="39" t="str">
        <f>D80</f>
        <v xml:space="preserve"> 2022-09</v>
      </c>
      <c r="H12" s="227" t="s">
        <v>1002</v>
      </c>
      <c r="I12" s="227"/>
    </row>
    <row r="13" spans="1:17" ht="14" customHeight="1">
      <c r="A13" s="25"/>
      <c r="B13" s="38" t="s">
        <v>579</v>
      </c>
      <c r="C13" s="25"/>
      <c r="D13" s="25"/>
      <c r="E13" s="25"/>
      <c r="F13" s="25"/>
      <c r="G13" s="25"/>
      <c r="H13" s="171" t="s">
        <v>347</v>
      </c>
      <c r="I13" s="171" t="s">
        <v>534</v>
      </c>
      <c r="P13" s="215"/>
      <c r="Q13" s="215"/>
    </row>
    <row r="14" spans="1:17" ht="14" customHeight="1">
      <c r="A14" s="25"/>
      <c r="B14" s="41" t="s">
        <v>993</v>
      </c>
      <c r="C14" s="25"/>
      <c r="D14" s="25"/>
      <c r="E14" s="25"/>
      <c r="F14" s="25">
        <f>INDEX('A.4 Drivmedel PB'!$B$8:$B$16,MATCH("El",'A.4 Drivmedel PB'!$A$8:$A$16,0))</f>
        <v>12500</v>
      </c>
      <c r="G14" s="25">
        <f>INDEX('A.4 Drivmedel PB'!$C$8:$C$16,MATCH("El",'A.4 Drivmedel PB'!$A$8:$A$16,0))</f>
        <v>7777</v>
      </c>
      <c r="H14" s="42">
        <f t="shared" ref="H14:H19" si="0">IF(G14=0,"",SUM(((F14-G14)/G14)))</f>
        <v>0.60730358750160729</v>
      </c>
      <c r="I14" s="42">
        <f>INDEX('A.4 Drivmedel PB'!$J$8:$J$16,MATCH("El",'A.4 Drivmedel PB'!$A$8:$A$16,0))</f>
        <v>0.39967598497121781</v>
      </c>
      <c r="K14" t="s">
        <v>1327</v>
      </c>
      <c r="P14" s="215"/>
      <c r="Q14" s="215"/>
    </row>
    <row r="15" spans="1:17" ht="14" customHeight="1">
      <c r="A15" s="25"/>
      <c r="B15" s="41" t="s">
        <v>994</v>
      </c>
      <c r="C15" s="25"/>
      <c r="D15" s="25"/>
      <c r="E15" s="25"/>
      <c r="F15" s="25">
        <f>INDEX('A.4 Drivmedel PB'!$B$8:$B$16,MATCH("Laddhybrid",'A.4 Drivmedel PB'!$A$8:$A$16,0))</f>
        <v>5337</v>
      </c>
      <c r="G15" s="25">
        <f>INDEX('A.4 Drivmedel PB'!$C$8:$C$16,MATCH("Laddhybrid",'A.4 Drivmedel PB'!$A$8:$A$16,0))</f>
        <v>4370</v>
      </c>
      <c r="H15" s="42">
        <f t="shared" si="0"/>
        <v>0.22128146453089245</v>
      </c>
      <c r="I15" s="42">
        <f>INDEX('A.4 Drivmedel PB'!$J$8:$J$16,MATCH("Laddhybrid",'A.4 Drivmedel PB'!$A$8:$A$16,0))</f>
        <v>-9.3819963671693485E-2</v>
      </c>
      <c r="P15" s="215"/>
      <c r="Q15" s="215"/>
    </row>
    <row r="16" spans="1:17" ht="14" customHeight="1">
      <c r="A16" s="25"/>
      <c r="B16" s="213" t="s">
        <v>996</v>
      </c>
      <c r="C16" s="214"/>
      <c r="D16" s="214"/>
      <c r="E16" s="214"/>
      <c r="F16" s="222">
        <f>INDEX('A.4 Drivmedel PB'!$D$8:$D$16,MATCH("El",'A.4 Drivmedel PB'!$A$8:$A$16,0))</f>
        <v>44.428647591967305</v>
      </c>
      <c r="G16" s="222">
        <f>INDEX('A.4 Drivmedel PB'!$E$8:$E$16,MATCH("El",'A.4 Drivmedel PB'!$A$8:$A$16,0))</f>
        <v>35.27304063860668</v>
      </c>
      <c r="H16" s="215">
        <f t="shared" si="0"/>
        <v>0.2595638705255176</v>
      </c>
      <c r="I16" s="220">
        <f>INDEX('A.4 Drivmedel PB'!$D$8:$D$16,MATCH("El",'A.4 Drivmedel PB'!$A$8:$A$16,0))</f>
        <v>44.428647591967305</v>
      </c>
      <c r="L16" s="219"/>
    </row>
    <row r="17" spans="1:15" ht="14" customHeight="1">
      <c r="A17" s="25"/>
      <c r="B17" s="213" t="s">
        <v>997</v>
      </c>
      <c r="C17" s="214"/>
      <c r="D17" s="214"/>
      <c r="E17" s="214"/>
      <c r="F17" s="222">
        <f>INDEX('A.4 Drivmedel PB'!$D$8:$D$16,MATCH("Laddhybrid",'A.4 Drivmedel PB'!$A$8:$A$16,0))</f>
        <v>18.969255375866361</v>
      </c>
      <c r="G17" s="222">
        <f>INDEX('A.4 Drivmedel PB'!$E$8:$E$16,MATCH("Laddhybrid",'A.4 Drivmedel PB'!$A$8:$A$16,0))</f>
        <v>19.820391872278663</v>
      </c>
      <c r="H17" s="215">
        <f t="shared" si="0"/>
        <v>-4.2942465613039889E-2</v>
      </c>
      <c r="I17" s="220">
        <f>INDEX('A.4 Drivmedel PB'!$D$8:$D$16,MATCH("Laddhybrid",'A.4 Drivmedel PB'!$A$8:$A$16,0))</f>
        <v>18.969255375866361</v>
      </c>
    </row>
    <row r="18" spans="1:15" ht="14" customHeight="1">
      <c r="A18" s="25"/>
      <c r="B18" s="213" t="s">
        <v>998</v>
      </c>
      <c r="C18" s="214"/>
      <c r="D18" s="214"/>
      <c r="E18" s="214"/>
      <c r="F18" s="222">
        <f>F16+F17</f>
        <v>63.397902967833666</v>
      </c>
      <c r="G18" s="222">
        <f>(G16+G17)</f>
        <v>55.093432510885343</v>
      </c>
      <c r="H18" s="215">
        <f t="shared" si="0"/>
        <v>0.15073430858219858</v>
      </c>
      <c r="I18" s="216">
        <f>AndelLaddbaraYTD/100</f>
        <v>0.17800132865141882</v>
      </c>
    </row>
    <row r="19" spans="1:15" ht="14" customHeight="1">
      <c r="A19" s="25"/>
      <c r="B19" s="43" t="s">
        <v>577</v>
      </c>
      <c r="C19" s="44"/>
      <c r="D19" s="44"/>
      <c r="E19" s="44"/>
      <c r="F19" s="218">
        <f>getAggModelsPB[[#Totals],[antalPerioden]]</f>
        <v>28135</v>
      </c>
      <c r="G19" s="45">
        <f>getAggModelsPB[[#Totals],[antalFGPeriod]]</f>
        <v>22048</v>
      </c>
      <c r="H19" s="46">
        <f t="shared" si="0"/>
        <v>0.27607946298984037</v>
      </c>
      <c r="I19" s="42">
        <f>IF(AntalTotaltYTDFGAR=0,"",((AntalTotaltYTD-AntalTotaltYTDFGAR)/AntalTotaltYTDFGAR))</f>
        <v>2.6040852228303362E-2</v>
      </c>
    </row>
    <row r="20" spans="1:15" ht="14" customHeight="1">
      <c r="A20" s="25"/>
      <c r="B20" s="25"/>
      <c r="C20" s="25"/>
      <c r="D20" s="25"/>
      <c r="E20" s="25"/>
      <c r="F20" s="25"/>
      <c r="G20" s="25"/>
      <c r="H20" s="25"/>
      <c r="I20" s="25"/>
    </row>
    <row r="21" spans="1:15" ht="14" customHeight="1">
      <c r="A21" s="25"/>
      <c r="B21" s="38" t="s">
        <v>580</v>
      </c>
      <c r="C21" s="25"/>
      <c r="D21" s="25"/>
      <c r="E21" s="25"/>
      <c r="F21" s="25"/>
      <c r="G21" s="25"/>
      <c r="H21" s="25"/>
      <c r="I21" s="25"/>
    </row>
    <row r="22" spans="1:15" ht="14" customHeight="1">
      <c r="A22" s="25"/>
      <c r="B22" s="41" t="s">
        <v>1210</v>
      </c>
      <c r="C22" s="25"/>
      <c r="D22" s="25"/>
      <c r="E22" s="25"/>
      <c r="F22" s="25">
        <f>INDEX('B. Lastbilar'!$B$6:$B$16,MATCH("Över (&gt;=)  16,0 ton",'B. Lastbilar'!$A$6:$A$16,0))</f>
        <v>215</v>
      </c>
      <c r="G22" s="25">
        <f>INDEX('B. Lastbilar'!$C$6:$C$16,MATCH("Över (&gt;=)  16,0 ton",'B. Lastbilar'!$A$6:$A$16,0))</f>
        <v>543</v>
      </c>
      <c r="H22" s="42">
        <f>IF(G22=0,"",SUM(((F22-G22)/G22)))</f>
        <v>-0.60405156537753224</v>
      </c>
      <c r="I22" s="42">
        <f>IF(AntalTLBYTDFGAR=0,"",((AntalTLBYTD-AntalTLBYTDFGAR)/AntalTLBYTDFGAR))</f>
        <v>0.42046953310472168</v>
      </c>
    </row>
    <row r="23" spans="1:15" ht="14" customHeight="1">
      <c r="A23" s="25"/>
      <c r="B23" s="41" t="s">
        <v>1211</v>
      </c>
      <c r="C23" s="25"/>
      <c r="D23" s="25"/>
      <c r="E23" s="25"/>
      <c r="F23" s="25">
        <f>INDEX('B. Lastbilar'!$B$6:$B$16,MATCH("Högst (&lt;=)  3,5 ton",'B. Lastbilar'!$A$6:$A$16,0))</f>
        <v>4477</v>
      </c>
      <c r="G23" s="25">
        <f>INDEX('B. Lastbilar'!$C$6:$C$16,MATCH("Högst (&lt;=)  3,5 ton",'B. Lastbilar'!$A$6:$A$16,0))</f>
        <v>3276</v>
      </c>
      <c r="H23" s="42">
        <f>IF(G23=0,"",SUM(((F23-G23)/G23)))</f>
        <v>0.36660561660561658</v>
      </c>
      <c r="I23" s="42">
        <f>IF(AntalLLBYTDFGAR=0,"",((AntalLLBYTD-AntalLLBYTDFGAR)/AntalLLBYTDFGAR))</f>
        <v>0.25410805300713557</v>
      </c>
    </row>
    <row r="24" spans="1:15" ht="14" customHeight="1">
      <c r="A24" s="25"/>
      <c r="B24" s="41" t="s">
        <v>995</v>
      </c>
      <c r="C24" s="25"/>
      <c r="D24" s="25"/>
      <c r="E24" s="25"/>
      <c r="F24" s="25">
        <f>AntalLLBEL</f>
        <v>1113</v>
      </c>
      <c r="G24" s="25">
        <f>AntalLLBELFGAR</f>
        <v>462</v>
      </c>
      <c r="H24" s="42">
        <f t="shared" ref="H24" si="1">IF(G24=0,"",SUM(((F24-G24)/G24)))</f>
        <v>1.4090909090909092</v>
      </c>
      <c r="I24" s="42">
        <f>ChangeLLBELYTD/100</f>
        <v>0.85369039843239714</v>
      </c>
    </row>
    <row r="25" spans="1:15" ht="14" customHeight="1">
      <c r="A25" s="25"/>
      <c r="B25" s="213" t="s">
        <v>999</v>
      </c>
      <c r="C25" s="214"/>
      <c r="D25" s="214"/>
      <c r="E25" s="214"/>
      <c r="F25" s="215">
        <f>(F24/F23)</f>
        <v>0.24860397587670316</v>
      </c>
      <c r="G25" s="215">
        <f>(G24/G23)</f>
        <v>0.14102564102564102</v>
      </c>
      <c r="H25" s="215">
        <f>IF(G25=0,"",SUM(((F25-G25)/G25)))</f>
        <v>0.7628281925802588</v>
      </c>
      <c r="I25" s="216"/>
      <c r="O25" s="217"/>
    </row>
    <row r="26" spans="1:15" ht="14" customHeight="1">
      <c r="A26" s="25"/>
      <c r="B26" s="43" t="s">
        <v>1001</v>
      </c>
      <c r="C26" s="44"/>
      <c r="D26" s="44"/>
      <c r="E26" s="44"/>
      <c r="F26" s="218">
        <f>GETPIVOTDATA("Sum of antalPerioden",'B. Lastbilar'!$A$7)</f>
        <v>4716</v>
      </c>
      <c r="G26" s="45">
        <f>GETPIVOTDATA("Sum of antalPeriodenFG",'B. Lastbilar'!$A$7)</f>
        <v>3876</v>
      </c>
      <c r="H26" s="46">
        <f>IF(G26=0,"",SUM(((F26-G26)/G26)))</f>
        <v>0.21671826625386997</v>
      </c>
      <c r="I26" s="42">
        <f>IF(antalLBTotaltYTDFGAR=0,"",((AntalLBTotaltYTD-antalLBTotaltYTDFGAR)/antalLBTotaltYTDFGAR))</f>
        <v>0.27426042719258509</v>
      </c>
    </row>
    <row r="27" spans="1:15" ht="14" customHeight="1">
      <c r="A27" s="25"/>
      <c r="B27" s="25"/>
      <c r="C27" s="25"/>
      <c r="D27" s="25"/>
      <c r="E27" s="25"/>
      <c r="F27" s="25"/>
      <c r="G27" s="25"/>
      <c r="H27" s="25"/>
      <c r="I27" s="25"/>
    </row>
    <row r="28" spans="1:15" ht="14" customHeight="1">
      <c r="A28" s="25"/>
      <c r="B28" s="38" t="s">
        <v>581</v>
      </c>
      <c r="C28" s="25"/>
      <c r="D28" s="25"/>
      <c r="E28" s="25"/>
      <c r="F28" s="25"/>
      <c r="G28" s="25"/>
      <c r="H28" s="25"/>
      <c r="I28" s="25"/>
    </row>
    <row r="29" spans="1:15" ht="14" customHeight="1">
      <c r="A29" s="25"/>
      <c r="B29" s="41" t="s">
        <v>992</v>
      </c>
      <c r="C29" s="25"/>
      <c r="D29" s="25"/>
      <c r="E29" s="25"/>
      <c r="F29" s="25">
        <f>AntalELBUSS</f>
        <v>4</v>
      </c>
      <c r="G29" s="25">
        <f>AntalELBUSSFGAR</f>
        <v>19</v>
      </c>
      <c r="H29" s="42">
        <f>IF(G29=0,"",SUM(((F29-G29)/G29)))</f>
        <v>-0.78947368421052633</v>
      </c>
      <c r="I29" s="42">
        <f>ChangeBUSSELYTD/100</f>
        <v>0.1650485436893204</v>
      </c>
      <c r="K29" s="41"/>
    </row>
    <row r="30" spans="1:15" ht="14" customHeight="1">
      <c r="A30" s="25"/>
      <c r="B30" s="213" t="s">
        <v>1000</v>
      </c>
      <c r="C30" s="214"/>
      <c r="D30" s="214"/>
      <c r="E30" s="214"/>
      <c r="F30" s="215">
        <f>(F29/F31)</f>
        <v>0.1111111111111111</v>
      </c>
      <c r="G30" s="215">
        <f>(G29/G31)</f>
        <v>0.39583333333333331</v>
      </c>
      <c r="H30" s="215">
        <f>IF(G30=0,"",SUM(((F30-G30)/G30)))</f>
        <v>-0.7192982456140351</v>
      </c>
      <c r="I30" s="216"/>
    </row>
    <row r="31" spans="1:15" ht="14" customHeight="1">
      <c r="A31" s="25"/>
      <c r="B31" s="43" t="s">
        <v>578</v>
      </c>
      <c r="C31" s="43"/>
      <c r="D31" s="43"/>
      <c r="E31" s="43"/>
      <c r="F31" s="84">
        <f>getAggBussAll[[#Totals],[antalPerioden]]</f>
        <v>36</v>
      </c>
      <c r="G31" s="44">
        <f>getAggBussAll[[#Totals],[antalPeriodenFG]]</f>
        <v>48</v>
      </c>
      <c r="H31" s="46">
        <f>IF(G31=0,"",SUM(((F31-G31)/G31)))</f>
        <v>-0.25</v>
      </c>
      <c r="I31" s="42">
        <f>IF(AntalBUSSYTDFGAR=0,"",((AntalBUSSYTD-AntalBUSSYTDFGAR)/AntalBUSSYTDFGAR))</f>
        <v>-6.1538461538461542E-2</v>
      </c>
    </row>
    <row r="32" spans="1:15">
      <c r="A32" s="25"/>
      <c r="B32" s="41"/>
      <c r="C32" s="25"/>
      <c r="D32" s="25"/>
      <c r="E32" s="25"/>
      <c r="F32" s="25"/>
      <c r="G32" s="42"/>
      <c r="H32" s="25"/>
      <c r="I32" s="25"/>
      <c r="J32" s="25"/>
    </row>
    <row r="33" spans="1:11">
      <c r="A33" s="25"/>
      <c r="B33" s="41"/>
      <c r="C33" s="25"/>
      <c r="D33" s="25"/>
      <c r="E33" s="25"/>
      <c r="F33" s="25"/>
      <c r="G33" s="42"/>
      <c r="H33" s="25"/>
      <c r="I33" s="25"/>
      <c r="J33" s="25"/>
    </row>
    <row r="34" spans="1:11">
      <c r="A34" s="25"/>
      <c r="B34" s="25" t="s">
        <v>0</v>
      </c>
      <c r="C34" s="25"/>
      <c r="D34" s="25"/>
      <c r="E34" s="25"/>
      <c r="F34" s="25"/>
      <c r="G34" s="25"/>
      <c r="H34" s="25"/>
      <c r="I34" s="25"/>
      <c r="J34" s="25"/>
    </row>
    <row r="35" spans="1:11">
      <c r="A35" s="25"/>
      <c r="B35" s="25"/>
      <c r="C35" s="25"/>
      <c r="D35" s="25"/>
      <c r="E35" s="25"/>
      <c r="F35" s="25"/>
      <c r="G35" s="25"/>
      <c r="H35" s="25"/>
      <c r="I35" s="25"/>
      <c r="J35" s="25"/>
    </row>
    <row r="36" spans="1:11" ht="18">
      <c r="A36" s="25"/>
      <c r="B36" s="47" t="s">
        <v>442</v>
      </c>
      <c r="C36" s="47"/>
      <c r="D36" s="48"/>
      <c r="E36" s="48"/>
      <c r="F36" s="48"/>
      <c r="G36" s="25"/>
      <c r="H36" s="25"/>
      <c r="I36" s="25"/>
      <c r="J36" s="25"/>
    </row>
    <row r="37" spans="1:11" ht="18">
      <c r="A37" s="25"/>
      <c r="B37" s="49"/>
      <c r="C37" s="47" t="s">
        <v>443</v>
      </c>
      <c r="D37" s="48"/>
      <c r="E37" s="48"/>
      <c r="F37" s="48"/>
      <c r="G37" s="25"/>
      <c r="H37" s="25"/>
      <c r="I37" s="25"/>
      <c r="J37" s="25"/>
    </row>
    <row r="38" spans="1:11" ht="18">
      <c r="A38" s="25"/>
      <c r="B38" s="49"/>
      <c r="C38" s="47" t="s">
        <v>526</v>
      </c>
      <c r="D38" s="48"/>
      <c r="E38" s="48"/>
      <c r="F38" s="48"/>
      <c r="G38" s="25"/>
      <c r="H38" s="25"/>
      <c r="I38" s="25"/>
      <c r="J38" s="25"/>
    </row>
    <row r="39" spans="1:11" ht="18">
      <c r="A39" s="25"/>
      <c r="B39" s="49"/>
      <c r="C39" s="47" t="s">
        <v>462</v>
      </c>
      <c r="D39" s="48"/>
      <c r="E39" s="48"/>
      <c r="F39" s="48"/>
      <c r="G39" s="25"/>
      <c r="H39" s="25"/>
      <c r="I39" s="25"/>
      <c r="J39" s="25"/>
    </row>
    <row r="40" spans="1:11" ht="18">
      <c r="A40" s="25"/>
      <c r="B40" s="49"/>
      <c r="C40" s="47" t="s">
        <v>447</v>
      </c>
      <c r="D40" s="48"/>
      <c r="E40" s="48"/>
      <c r="F40" s="48"/>
      <c r="G40" s="25"/>
      <c r="H40" s="25"/>
      <c r="I40" s="25"/>
      <c r="J40" s="25"/>
    </row>
    <row r="41" spans="1:11" ht="18">
      <c r="A41" s="25"/>
      <c r="B41" s="49"/>
      <c r="C41" s="47" t="s">
        <v>448</v>
      </c>
      <c r="D41" s="48"/>
      <c r="E41" s="48"/>
      <c r="F41" s="48"/>
      <c r="G41" s="25"/>
      <c r="H41" s="25"/>
      <c r="I41" s="25"/>
      <c r="J41" s="25"/>
    </row>
    <row r="42" spans="1:11" ht="18">
      <c r="A42" s="25"/>
      <c r="B42" s="49"/>
      <c r="C42" s="47" t="s">
        <v>617</v>
      </c>
      <c r="D42" s="48"/>
      <c r="E42" s="48"/>
      <c r="F42" s="48"/>
      <c r="G42" s="25"/>
      <c r="H42" s="25"/>
      <c r="I42" s="25"/>
      <c r="J42" s="25"/>
    </row>
    <row r="43" spans="1:11" ht="18">
      <c r="A43" s="25"/>
      <c r="B43" s="49"/>
      <c r="C43" s="47" t="s">
        <v>618</v>
      </c>
      <c r="D43" s="48"/>
      <c r="E43" s="48"/>
      <c r="F43" s="48"/>
      <c r="G43" s="25"/>
      <c r="H43" s="25"/>
      <c r="I43" s="25"/>
      <c r="J43" s="25"/>
    </row>
    <row r="44" spans="1:11" ht="18">
      <c r="A44" s="25"/>
      <c r="B44" s="50"/>
      <c r="C44" s="47" t="s">
        <v>449</v>
      </c>
      <c r="D44" s="48"/>
      <c r="E44" s="48"/>
      <c r="F44" s="48"/>
      <c r="G44" s="25" t="s">
        <v>1328</v>
      </c>
      <c r="H44" s="25"/>
      <c r="I44" s="25"/>
      <c r="J44" s="25"/>
    </row>
    <row r="45" spans="1:11" ht="18">
      <c r="A45" s="25"/>
      <c r="B45" s="50"/>
      <c r="C45" s="47" t="s">
        <v>531</v>
      </c>
      <c r="D45" s="48"/>
      <c r="E45" s="48"/>
      <c r="F45" s="48"/>
      <c r="G45" s="48"/>
      <c r="H45" s="48"/>
      <c r="I45" s="48"/>
      <c r="J45" s="25"/>
    </row>
    <row r="46" spans="1:11" ht="18">
      <c r="A46" s="25"/>
      <c r="B46" s="50"/>
      <c r="C46" s="47" t="s">
        <v>532</v>
      </c>
      <c r="D46" s="48"/>
      <c r="E46" s="48"/>
      <c r="F46" s="48"/>
      <c r="G46" s="25"/>
      <c r="H46" s="25"/>
      <c r="I46" s="25"/>
      <c r="J46" s="25"/>
    </row>
    <row r="47" spans="1:11" ht="18">
      <c r="A47" s="25"/>
      <c r="B47" s="50"/>
      <c r="C47" s="50"/>
      <c r="D47" s="48"/>
      <c r="E47" s="48"/>
      <c r="F47" s="25"/>
      <c r="G47" s="25"/>
      <c r="H47" s="25"/>
      <c r="I47" s="25"/>
      <c r="J47" s="25"/>
    </row>
    <row r="48" spans="1:11" ht="18">
      <c r="A48" s="25"/>
      <c r="B48" s="47" t="s">
        <v>444</v>
      </c>
      <c r="C48" s="47"/>
      <c r="D48" s="47"/>
      <c r="E48" s="47"/>
      <c r="F48" s="47"/>
      <c r="G48" s="51"/>
      <c r="H48" s="51"/>
      <c r="I48" s="51"/>
      <c r="J48" s="51"/>
      <c r="K48" s="17"/>
    </row>
    <row r="49" spans="1:11" ht="18">
      <c r="A49" s="25"/>
      <c r="B49" s="50"/>
      <c r="C49" s="47" t="s">
        <v>527</v>
      </c>
      <c r="D49" s="47"/>
      <c r="E49" s="47"/>
      <c r="F49" s="47"/>
      <c r="G49" s="51"/>
      <c r="H49" s="51"/>
      <c r="I49" s="51"/>
      <c r="J49" s="51"/>
      <c r="K49" s="17"/>
    </row>
    <row r="50" spans="1:11" ht="18">
      <c r="A50" s="25"/>
      <c r="B50" s="50"/>
      <c r="C50" s="47" t="s">
        <v>368</v>
      </c>
      <c r="D50" s="47"/>
      <c r="E50" s="47"/>
      <c r="F50" s="47"/>
      <c r="G50" s="51"/>
      <c r="H50" s="51"/>
      <c r="I50" s="51"/>
      <c r="J50" s="51"/>
      <c r="K50" s="17"/>
    </row>
    <row r="51" spans="1:11" ht="18">
      <c r="A51" s="25"/>
      <c r="B51" s="50"/>
      <c r="C51" s="47" t="s">
        <v>305</v>
      </c>
      <c r="D51" s="47"/>
      <c r="E51" s="47"/>
      <c r="F51" s="47"/>
      <c r="G51" s="51"/>
      <c r="H51" s="51"/>
      <c r="I51" s="51"/>
      <c r="J51" s="51"/>
      <c r="K51" s="17"/>
    </row>
    <row r="52" spans="1:11" ht="18">
      <c r="A52" s="25"/>
      <c r="B52" s="50"/>
      <c r="C52" s="47" t="s">
        <v>528</v>
      </c>
      <c r="D52" s="47"/>
      <c r="E52" s="47"/>
      <c r="F52" s="47"/>
      <c r="G52" s="51"/>
      <c r="H52" s="51"/>
      <c r="I52" s="51"/>
      <c r="J52" s="51"/>
      <c r="K52" s="17"/>
    </row>
    <row r="53" spans="1:11" ht="18">
      <c r="A53" s="25"/>
      <c r="B53" s="50"/>
      <c r="C53" s="47" t="s">
        <v>350</v>
      </c>
      <c r="D53" s="47"/>
      <c r="E53" s="47"/>
      <c r="F53" s="47"/>
      <c r="G53" s="25"/>
      <c r="H53" s="25"/>
      <c r="I53" s="25"/>
      <c r="J53" s="25"/>
    </row>
    <row r="54" spans="1:11" ht="18">
      <c r="A54" s="25"/>
      <c r="B54" s="52"/>
      <c r="C54" s="50"/>
      <c r="D54" s="47"/>
      <c r="E54" s="47"/>
      <c r="F54" s="49"/>
      <c r="G54" s="25"/>
      <c r="H54" s="25"/>
      <c r="I54" s="25"/>
      <c r="J54" s="25"/>
    </row>
    <row r="55" spans="1:11" ht="18">
      <c r="A55" s="25"/>
      <c r="B55" s="47" t="s">
        <v>445</v>
      </c>
      <c r="C55" s="47"/>
      <c r="D55" s="47"/>
      <c r="E55" s="47"/>
      <c r="F55" s="47"/>
      <c r="G55" s="25"/>
      <c r="H55" s="25"/>
      <c r="I55" s="25"/>
      <c r="J55" s="25"/>
    </row>
    <row r="56" spans="1:11" ht="18">
      <c r="A56" s="25"/>
      <c r="B56" s="50"/>
      <c r="C56" s="47" t="s">
        <v>306</v>
      </c>
      <c r="D56" s="47"/>
      <c r="E56" s="47"/>
      <c r="F56" s="47"/>
      <c r="G56" s="25"/>
      <c r="H56" s="25"/>
      <c r="I56" s="25"/>
      <c r="J56" s="25"/>
    </row>
    <row r="57" spans="1:11" ht="18">
      <c r="A57" s="25"/>
      <c r="B57" s="25"/>
      <c r="C57" s="47" t="s">
        <v>525</v>
      </c>
      <c r="D57" s="48"/>
      <c r="E57" s="48"/>
      <c r="F57" s="48"/>
      <c r="G57" s="25"/>
      <c r="H57" s="25"/>
      <c r="I57" s="25"/>
      <c r="J57" s="25"/>
    </row>
    <row r="58" spans="1:11" ht="18">
      <c r="A58" s="25"/>
      <c r="B58" s="25"/>
      <c r="C58" s="47"/>
      <c r="D58" s="25"/>
      <c r="E58" s="25"/>
      <c r="F58" s="25"/>
      <c r="G58" s="25"/>
      <c r="H58" s="25"/>
      <c r="I58" s="25"/>
      <c r="J58" s="25"/>
    </row>
    <row r="59" spans="1:11">
      <c r="A59" s="25"/>
      <c r="B59" s="53" t="s">
        <v>675</v>
      </c>
      <c r="C59" s="25"/>
      <c r="D59" s="25"/>
      <c r="E59" s="25"/>
      <c r="F59" s="25"/>
      <c r="G59" s="25"/>
      <c r="H59" s="25"/>
      <c r="I59" s="25"/>
      <c r="J59" s="25"/>
    </row>
    <row r="60" spans="1:11">
      <c r="A60" s="25"/>
      <c r="B60" s="54"/>
      <c r="C60" s="25"/>
      <c r="D60" s="25"/>
      <c r="E60" s="25"/>
      <c r="F60" s="25"/>
      <c r="G60" s="25"/>
      <c r="H60" s="25"/>
      <c r="I60" s="25"/>
      <c r="J60" s="25"/>
    </row>
    <row r="61" spans="1:11">
      <c r="A61" s="25"/>
      <c r="B61" s="55" t="s">
        <v>679</v>
      </c>
      <c r="C61" s="48"/>
      <c r="D61" s="48"/>
      <c r="E61" s="48"/>
      <c r="F61" s="48"/>
      <c r="G61" s="25"/>
      <c r="H61" s="25"/>
      <c r="I61" s="25"/>
      <c r="J61" s="25"/>
    </row>
    <row r="62" spans="1:11">
      <c r="A62" s="25"/>
      <c r="B62" s="55" t="s">
        <v>529</v>
      </c>
      <c r="C62" s="25"/>
      <c r="D62" s="25"/>
      <c r="E62" s="25"/>
      <c r="F62" s="25"/>
      <c r="G62" s="25"/>
      <c r="H62" s="25"/>
      <c r="I62" s="25"/>
      <c r="J62" s="25"/>
    </row>
    <row r="63" spans="1:11">
      <c r="A63" s="25"/>
      <c r="B63" s="51"/>
      <c r="C63" s="25"/>
      <c r="D63" s="25"/>
      <c r="E63" s="25"/>
      <c r="F63" s="25"/>
      <c r="G63" s="25"/>
      <c r="H63" s="25"/>
      <c r="I63" s="25"/>
      <c r="J63" s="25"/>
    </row>
    <row r="64" spans="1:11">
      <c r="A64" s="25"/>
      <c r="B64" s="20" t="s">
        <v>530</v>
      </c>
      <c r="C64" s="51"/>
      <c r="D64" s="51"/>
      <c r="E64" s="51"/>
      <c r="F64" s="51"/>
      <c r="G64" s="25"/>
      <c r="H64" s="25"/>
      <c r="I64" s="25"/>
      <c r="J64" s="25"/>
    </row>
    <row r="65" spans="1:10">
      <c r="A65" s="25"/>
      <c r="B65" s="7" t="s">
        <v>676</v>
      </c>
      <c r="C65" s="51"/>
      <c r="D65" s="51"/>
      <c r="E65" s="51"/>
      <c r="F65" s="51"/>
      <c r="G65" s="25"/>
      <c r="H65" s="25"/>
      <c r="I65" s="25"/>
      <c r="J65" s="25"/>
    </row>
    <row r="66" spans="1:10">
      <c r="A66" s="25"/>
      <c r="B66" s="7" t="s">
        <v>472</v>
      </c>
      <c r="C66" s="51"/>
      <c r="D66" s="51"/>
      <c r="E66" s="51"/>
      <c r="F66" s="51"/>
      <c r="G66" s="25"/>
      <c r="H66" s="25"/>
      <c r="I66" s="25"/>
      <c r="J66" s="25"/>
    </row>
    <row r="67" spans="1:10">
      <c r="A67" s="25"/>
      <c r="B67" s="7" t="s">
        <v>473</v>
      </c>
      <c r="C67" s="51"/>
      <c r="D67" s="51"/>
      <c r="E67" s="51"/>
      <c r="F67" s="51"/>
      <c r="G67" s="25"/>
      <c r="H67" s="25"/>
      <c r="I67" s="25"/>
      <c r="J67" s="25"/>
    </row>
    <row r="68" spans="1:10">
      <c r="A68" s="25"/>
      <c r="B68" s="7" t="s">
        <v>677</v>
      </c>
      <c r="C68" s="51"/>
      <c r="D68" s="51"/>
      <c r="E68" s="51"/>
      <c r="F68" s="51"/>
      <c r="G68" s="25"/>
      <c r="H68" s="25"/>
      <c r="I68" s="25"/>
      <c r="J68" s="25"/>
    </row>
    <row r="69" spans="1:10">
      <c r="A69" s="25"/>
      <c r="B69" s="7" t="s">
        <v>446</v>
      </c>
      <c r="C69" s="25"/>
      <c r="D69" s="25"/>
      <c r="E69" s="25"/>
      <c r="F69" s="25"/>
      <c r="G69" s="25"/>
      <c r="H69" s="25"/>
      <c r="I69" s="25"/>
      <c r="J69" s="25"/>
    </row>
    <row r="70" spans="1:10">
      <c r="A70" s="25"/>
      <c r="B70" s="25"/>
      <c r="C70" s="25"/>
      <c r="D70" s="25"/>
      <c r="E70" s="25"/>
      <c r="F70" s="25"/>
      <c r="G70" s="25"/>
      <c r="H70" s="25"/>
      <c r="I70" s="25"/>
      <c r="J70" s="25"/>
    </row>
    <row r="71" spans="1:10">
      <c r="A71" s="25"/>
      <c r="B71" s="25"/>
      <c r="C71" s="25"/>
      <c r="D71" s="25"/>
      <c r="E71" s="25"/>
      <c r="F71" s="25"/>
      <c r="G71" s="25"/>
      <c r="H71" s="25"/>
      <c r="I71" s="25"/>
      <c r="J71" s="25"/>
    </row>
    <row r="72" spans="1:10" hidden="1">
      <c r="A72" s="25"/>
      <c r="B72" s="25"/>
      <c r="C72" s="25"/>
      <c r="D72" s="25"/>
      <c r="E72" s="25"/>
      <c r="F72" s="25"/>
      <c r="G72" s="25"/>
      <c r="H72" s="25"/>
      <c r="I72" s="25"/>
      <c r="J72" s="25"/>
    </row>
    <row r="73" spans="1:10" hidden="1"/>
    <row r="74" spans="1:10" hidden="1">
      <c r="A74" t="s">
        <v>356</v>
      </c>
      <c r="D74" s="169" t="s">
        <v>10</v>
      </c>
    </row>
    <row r="75" spans="1:10" hidden="1">
      <c r="A75" t="s">
        <v>347</v>
      </c>
      <c r="D75" s="169" t="s">
        <v>1275</v>
      </c>
    </row>
    <row r="76" spans="1:10" hidden="1">
      <c r="A76" t="s">
        <v>348</v>
      </c>
      <c r="D76" s="169" t="s">
        <v>1276</v>
      </c>
    </row>
    <row r="77" spans="1:10" hidden="1">
      <c r="A77" t="s">
        <v>345</v>
      </c>
      <c r="D77" s="169" t="s">
        <v>1068</v>
      </c>
    </row>
    <row r="78" spans="1:10" hidden="1">
      <c r="A78" t="s">
        <v>346</v>
      </c>
      <c r="D78" s="169" t="s">
        <v>656</v>
      </c>
    </row>
    <row r="79" spans="1:10" hidden="1">
      <c r="A79" t="s">
        <v>341</v>
      </c>
      <c r="D79" s="169" t="s">
        <v>1277</v>
      </c>
    </row>
    <row r="80" spans="1:10" hidden="1">
      <c r="A80" t="s">
        <v>342</v>
      </c>
      <c r="D80" s="169" t="s">
        <v>1278</v>
      </c>
    </row>
    <row r="81" spans="1:4" hidden="1">
      <c r="A81" t="s">
        <v>343</v>
      </c>
      <c r="D81" s="169" t="s">
        <v>1069</v>
      </c>
    </row>
    <row r="82" spans="1:4" hidden="1">
      <c r="A82" t="s">
        <v>344</v>
      </c>
      <c r="D82" s="169" t="s">
        <v>657</v>
      </c>
    </row>
    <row r="83" spans="1:4" hidden="1">
      <c r="D83" s="25"/>
    </row>
    <row r="84" spans="1:4" hidden="1">
      <c r="A84" t="s">
        <v>344</v>
      </c>
      <c r="D84" s="169" t="s">
        <v>1280</v>
      </c>
    </row>
    <row r="85" spans="1:4" hidden="1">
      <c r="A85" t="s">
        <v>343</v>
      </c>
      <c r="D85" s="169" t="s">
        <v>1279</v>
      </c>
    </row>
    <row r="86" spans="1:4" hidden="1">
      <c r="D86" s="25"/>
    </row>
    <row r="87" spans="1:4" hidden="1">
      <c r="A87" t="s">
        <v>357</v>
      </c>
      <c r="D87" s="169" t="s">
        <v>1281</v>
      </c>
    </row>
    <row r="88" spans="1:4" hidden="1"/>
    <row r="89" spans="1:4" hidden="1"/>
    <row r="90" spans="1:4" hidden="1"/>
    <row r="98" spans="2:2">
      <c r="B98" s="3"/>
    </row>
    <row r="99" spans="2:2">
      <c r="B99" s="3"/>
    </row>
  </sheetData>
  <mergeCells count="2">
    <mergeCell ref="C10:I10"/>
    <mergeCell ref="H12:I12"/>
  </mergeCells>
  <conditionalFormatting sqref="F25:G25">
    <cfRule type="cellIs" dxfId="14" priority="3" operator="lessThan">
      <formula>0</formula>
    </cfRule>
  </conditionalFormatting>
  <conditionalFormatting sqref="F30:G30">
    <cfRule type="cellIs" dxfId="13" priority="2" operator="lessThan">
      <formula>0</formula>
    </cfRule>
  </conditionalFormatting>
  <conditionalFormatting sqref="H14:H15">
    <cfRule type="cellIs" dxfId="12" priority="1" operator="lessThan">
      <formula>0</formula>
    </cfRule>
  </conditionalFormatting>
  <conditionalFormatting sqref="I14:I17 H16:I31">
    <cfRule type="cellIs" dxfId="11" priority="5" operator="lessThan">
      <formula>0</formula>
    </cfRule>
  </conditionalFormatting>
  <conditionalFormatting sqref="P13:Q15">
    <cfRule type="cellIs" dxfId="10" priority="4" operator="lessThan">
      <formula>0</formula>
    </cfRule>
  </conditionalFormatting>
  <dataValidations disablePrompts="1" count="4">
    <dataValidation allowBlank="1" showInputMessage="1" showErrorMessage="1" prompt="visar antalet registreringar för den aktuella månaden i år." sqref="D79" xr:uid="{00000000-0002-0000-0000-000000000000}"/>
    <dataValidation allowBlank="1" showInputMessage="1" showErrorMessage="1" prompt="visar antalet registreringar för den aktuella månaden föregående år." sqref="D80" xr:uid="{00000000-0002-0000-0000-000001000000}"/>
    <dataValidation allowBlank="1" showInputMessage="1" showErrorMessage="1" prompt="förändring i marknads-andelen ackumulerat från årets början t.o.m den aktuella månaden." sqref="D81" xr:uid="{00000000-0002-0000-0000-000002000000}"/>
    <dataValidation allowBlank="1" showInputMessage="1" showErrorMessage="1" prompt="antalet registreringar ackumulerat från föregående års början t.o.m den aktuella månaden i föregående år." sqref="D82" xr:uid="{00000000-0002-0000-0000-000003000000}"/>
  </dataValidations>
  <hyperlinks>
    <hyperlink ref="C49" location="'2. Lätta lastbilar'!A1" display="2. Lätta lastbilar" xr:uid="{00000000-0004-0000-0000-000000000000}"/>
    <hyperlink ref="C52" location="'3. Tunga lastbilar'!A1" display="3. Tunga lastbilar" xr:uid="{00000000-0004-0000-0000-000001000000}"/>
    <hyperlink ref="B55" location="'4. Bussar'!A1" display="4. Bussar" xr:uid="{00000000-0004-0000-0000-000002000000}"/>
    <hyperlink ref="B36" location="'1. Personbilar'!A1" display="1. Personbilar" xr:uid="{00000000-0004-0000-0000-000003000000}"/>
    <hyperlink ref="B36:C36" location="'1. Personbilar'!A1" display="1. Personbilar" xr:uid="{00000000-0004-0000-0000-000004000000}"/>
    <hyperlink ref="B36:D36" location="'A. Personbilar'!A1" display="A. Personbilar (PB)" xr:uid="{00000000-0004-0000-0000-000005000000}"/>
    <hyperlink ref="C37:E37" location="'A.1 Rankinglista PB'!A1" display="A.1 Rankinglista PB" xr:uid="{00000000-0004-0000-0000-000006000000}"/>
    <hyperlink ref="C45:D45" location="'A.7 CO2'!A1" display="A.7 CO2 PB" xr:uid="{00000000-0004-0000-0000-000007000000}"/>
    <hyperlink ref="C40:D40" location="'A6. Drivmedel'!A1" display="A.6 Drivmedel PB" xr:uid="{00000000-0004-0000-0000-000008000000}"/>
    <hyperlink ref="C46:E46" location="'A.8 Fysiska-Juridiska'!A1" display="A.8 Fysiska / Juridiska PB" xr:uid="{00000000-0004-0000-0000-000009000000}"/>
    <hyperlink ref="C44:E44" location="'A.4 Klimatbonusbilar'!A1" display="A.4 Klimatbonusbilar PB" xr:uid="{00000000-0004-0000-0000-00000A000000}"/>
    <hyperlink ref="C41:E41" location="'A.3 Laddbara PB'!A1" display="A.3 Laddbara PB" xr:uid="{00000000-0004-0000-0000-00000B000000}"/>
    <hyperlink ref="C49:E49" location="'B. Lätta lastbilar'!A1" display="B. Lätta lastbilar (LLB)" xr:uid="{00000000-0004-0000-0000-00000C000000}"/>
    <hyperlink ref="C50:E50" location="'B.2 Fabrikat LLB'!A1" display="B.2 Rankinglista LLB" xr:uid="{00000000-0004-0000-0000-00000D000000}"/>
    <hyperlink ref="C51:E51" location="'B.2 Eldrivna LLB'!A1" display="B.2 Eldrivna LLB" xr:uid="{00000000-0004-0000-0000-00000E000000}"/>
    <hyperlink ref="C52:E52" location="'C. Tunga lastbilar'!A1" display="C. Tunga lastbilar" xr:uid="{00000000-0004-0000-0000-00000F000000}"/>
    <hyperlink ref="B55:E55" location="'C. Bussar'!A1" display="C. Bussar" xr:uid="{00000000-0004-0000-0000-000010000000}"/>
    <hyperlink ref="C56:E56" location="'C.1 Eldrivna bussar'!A1" display="C.1 Eldrivna bussar" xr:uid="{00000000-0004-0000-0000-000011000000}"/>
    <hyperlink ref="C53" location="'B.5 Fabrikatlista TLB'!A1" display="B.5 Fabrikatlista TLB" xr:uid="{00000000-0004-0000-0000-000012000000}"/>
    <hyperlink ref="C53:E53" location="'B.5 Fabrikatlista TLB'!A1" display="B.5 Fabrikatlista TLB" xr:uid="{00000000-0004-0000-0000-000013000000}"/>
    <hyperlink ref="B48" location="'2. Lätta lastbilar'!A1" display="2. Lätta lastbilar" xr:uid="{00000000-0004-0000-0000-000014000000}"/>
    <hyperlink ref="B48:D48" location="'B. Lätta lastbilar'!A1" display="B. Lätta lastbilar (LLB)" xr:uid="{00000000-0004-0000-0000-000015000000}"/>
    <hyperlink ref="C39" location="'A.3 Generalagenter PB'!A1" display="A.2 Generalagenter PB" xr:uid="{00000000-0004-0000-0000-000016000000}"/>
    <hyperlink ref="B48:F48" location="'B. Lastbilar'!A1" display="B. Lastbilar totalt" xr:uid="{00000000-0004-0000-0000-000017000000}"/>
    <hyperlink ref="C49:F49" location="'B.1 Lätta lastbilar'!A1" display="B.1 Lätta lastbilar LLB" xr:uid="{00000000-0004-0000-0000-000018000000}"/>
    <hyperlink ref="C50:F50" location="'B.2 Fabrikat LLB'!A1" display="B.2 Fabrikat LLB" xr:uid="{00000000-0004-0000-0000-000019000000}"/>
    <hyperlink ref="C51:F51" location="'B.3 Eldrivna LLB'!A1" display="B.3 Eldrivna LLB" xr:uid="{00000000-0004-0000-0000-00001A000000}"/>
    <hyperlink ref="C52:F52" location="'B.4 Tunga lastbilar'!A1" display="B.4 Tunga lastbilar över 16 tom (TLB)" xr:uid="{00000000-0004-0000-0000-00001B000000}"/>
    <hyperlink ref="C53:F53" location="'B.5 Fabrikatlista TLB'!A1" display="B.5 Fabrikatlista TLB" xr:uid="{00000000-0004-0000-0000-00001C000000}"/>
    <hyperlink ref="C40:E40" location="'A.6 Drivmedel'!A1" display="A.6 Drivmedel PB" xr:uid="{00000000-0004-0000-0000-00001D000000}"/>
    <hyperlink ref="C38" location="'A.2 Fabrikat och modeller PB'!A1" display="A.3 Fabrikat och modeller (PB)" xr:uid="{00000000-0004-0000-0000-00001E000000}"/>
    <hyperlink ref="C40" location="'A.4 Drivmedel'!A1" display="A.4 Drivmedel PB" xr:uid="{00000000-0004-0000-0000-00001F000000}"/>
    <hyperlink ref="C41" location="'A.5 Laddbara PB'!A1" display="A.5 Laddbara PB" xr:uid="{00000000-0004-0000-0000-000020000000}"/>
    <hyperlink ref="C44" location="'A.6 Klimatbonusbilar'!A1" display="A.6 Klimatbonusbilar PB" xr:uid="{00000000-0004-0000-0000-000021000000}"/>
    <hyperlink ref="C45" location="'A.8 Koldioxidutsläpp PB'!A1" display="A.8 Koldioxidutsläpp PB" xr:uid="{00000000-0004-0000-0000-000022000000}"/>
    <hyperlink ref="C46" location="'A.9 Fysiska-Juridiska'!A1" display="A.9 Fysiska / Juridiska personer PB" xr:uid="{00000000-0004-0000-0000-000023000000}"/>
    <hyperlink ref="B36:F36" location="'A. Personbilar'!A1" display="A. Personbilar (PB) totalt" xr:uid="{00000000-0004-0000-0000-000024000000}"/>
    <hyperlink ref="C37:F37" location="'A.1 Rankinglista PB'!A1" display="A.1 Rankinglista PB modeller" xr:uid="{00000000-0004-0000-0000-000025000000}"/>
    <hyperlink ref="C38:F38" location="'A.2 Fabrikat och modeller PB'!A1" display="A.2 Fabrikat och modeller (PB)" xr:uid="{00000000-0004-0000-0000-000026000000}"/>
    <hyperlink ref="C39:F39" location="'A.3 Generalagenter PB'!A1" display="A.3 Generalagenter PB" xr:uid="{00000000-0004-0000-0000-000027000000}"/>
    <hyperlink ref="C40:F40" location="'A.4 Drivmedel'!A1" display="A.4 Drivmedel PB" xr:uid="{00000000-0004-0000-0000-000028000000}"/>
    <hyperlink ref="C41:F41" location="'A.5 Laddbara PB'!A1" display="A.5 Laddbara PB" xr:uid="{00000000-0004-0000-0000-000029000000}"/>
    <hyperlink ref="C44:F44" location="'A.6 Klimatbonusbilar'!A1" display="A.6 Klimatbonusbilar PB" xr:uid="{00000000-0004-0000-0000-00002A000000}"/>
    <hyperlink ref="C45:F45" location="'A.7 Koldioxidutsläpp PB'!A1" display="A.7 Koldioxidutsläpp PB" xr:uid="{00000000-0004-0000-0000-00002B000000}"/>
    <hyperlink ref="C46:F46" location="'A.8 Fysiska-Juridiska'!A1" display="A.8 Fysiska / Juridiska personer PB" xr:uid="{00000000-0004-0000-0000-00002C000000}"/>
    <hyperlink ref="B55:F55" location="'C. Bussar'!A1" display="C. Bussar totalt och fabrikat" xr:uid="{00000000-0004-0000-0000-00002D000000}"/>
    <hyperlink ref="C56:F56" location="'C.1 Eldrivna bussar'!A1" display="C.1 Eldrivna bussar" xr:uid="{00000000-0004-0000-0000-00002E000000}"/>
    <hyperlink ref="C57" location="'C.1 Eldrivna bussar'!A1" display="C.1 Eldrivna bussar" xr:uid="{00000000-0004-0000-0000-00002F000000}"/>
    <hyperlink ref="C57:F57" location="'C.2 Privatimporterade bussar'!A1" display="C.2 Privateimporterade bussar" xr:uid="{00000000-0004-0000-0000-000030000000}"/>
    <hyperlink ref="C42:C43" location="'A.3 Laddbara PB'!A1" display="A.3 Laddbara PB" xr:uid="{00000000-0004-0000-0000-000031000000}"/>
    <hyperlink ref="C42" location="'A.51 Elbilar PB'!A1" display="A.51 Elbilar PB" xr:uid="{00000000-0004-0000-0000-000032000000}"/>
    <hyperlink ref="C43" location="'A.52 Laddhybrider PB'!A1" display="A.52 Laddhybrider PB" xr:uid="{00000000-0004-0000-0000-000033000000}"/>
  </hyperlinks>
  <pageMargins left="0.70866141732283472" right="0.70866141732283472" top="0.74803149606299213" bottom="0.74803149606299213" header="0.31496062992125984" footer="0.31496062992125984"/>
  <pageSetup paperSize="9" orientation="portrait" r:id="rId1"/>
  <headerFooter>
    <oddFooter>&amp;CBIL Sweden Adm AB, P.O. Box 26173 [Storgatan 19], SE-100 41 Stockholm, Sweden
Telephone +46 8 700 41 00, Email: bil@bilsweden.se, www.bilsweden.se</oddFooter>
  </headerFooter>
  <rowBreaks count="1" manualBreakCount="1">
    <brk id="46"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4:Q24"/>
  <sheetViews>
    <sheetView workbookViewId="0">
      <selection activeCell="C31" sqref="C31"/>
    </sheetView>
  </sheetViews>
  <sheetFormatPr baseColWidth="10" defaultColWidth="8.83203125" defaultRowHeight="15"/>
  <cols>
    <col min="1" max="1" width="12.5" style="4" customWidth="1"/>
    <col min="2" max="2" width="9.83203125" customWidth="1"/>
    <col min="3" max="3" width="16.33203125" style="4" customWidth="1"/>
    <col min="4" max="4" width="10.33203125" style="4" customWidth="1"/>
    <col min="5" max="5" width="12.5" style="12" customWidth="1"/>
    <col min="6" max="6" width="10.6640625" style="12" customWidth="1"/>
    <col min="7" max="8" width="10.6640625" style="4" customWidth="1"/>
    <col min="9" max="11" width="10.6640625" style="8" customWidth="1"/>
    <col min="13" max="13" width="8.33203125" customWidth="1"/>
    <col min="14" max="14" width="14.6640625" customWidth="1"/>
    <col min="15" max="15" width="10.5" customWidth="1"/>
    <col min="16" max="16" width="13.5" customWidth="1"/>
    <col min="17" max="17" width="14" customWidth="1"/>
    <col min="18" max="18" width="10.83203125" customWidth="1"/>
    <col min="20" max="20" width="11.1640625" customWidth="1"/>
    <col min="21" max="21" width="12.33203125" customWidth="1"/>
  </cols>
  <sheetData>
    <row r="4" spans="1:15" ht="19.25" customHeight="1" thickBot="1">
      <c r="A4" s="56" t="s">
        <v>354</v>
      </c>
      <c r="B4" s="56"/>
      <c r="C4" s="56"/>
      <c r="D4" s="56"/>
      <c r="E4" s="56"/>
      <c r="F4" s="56"/>
      <c r="G4"/>
    </row>
    <row r="6" spans="1:15">
      <c r="A6" s="61"/>
      <c r="B6" s="25"/>
      <c r="C6" s="61"/>
      <c r="D6" s="61"/>
      <c r="E6" s="79"/>
      <c r="F6" s="80"/>
      <c r="G6" s="257" t="s">
        <v>452</v>
      </c>
      <c r="H6" s="257"/>
      <c r="I6" s="257"/>
      <c r="J6" s="257"/>
      <c r="K6" s="257"/>
      <c r="L6" s="25"/>
    </row>
    <row r="7" spans="1:15">
      <c r="A7" s="96"/>
      <c r="B7" s="263" t="s">
        <v>535</v>
      </c>
      <c r="C7" s="264"/>
      <c r="D7" s="265" t="s">
        <v>537</v>
      </c>
      <c r="E7" s="266"/>
      <c r="F7" s="121" t="s">
        <v>535</v>
      </c>
      <c r="G7" s="122"/>
      <c r="H7" s="267" t="s">
        <v>537</v>
      </c>
      <c r="I7" s="268"/>
      <c r="J7" s="267" t="s">
        <v>536</v>
      </c>
      <c r="K7" s="268"/>
      <c r="L7" s="25"/>
    </row>
    <row r="8" spans="1:15">
      <c r="A8" s="96"/>
      <c r="B8" s="123" t="str">
        <f>Innehåll!D79</f>
        <v xml:space="preserve"> 2023-09</v>
      </c>
      <c r="C8" s="123" t="str">
        <f>Innehåll!D80</f>
        <v xml:space="preserve"> 2022-09</v>
      </c>
      <c r="D8" s="124" t="str">
        <f>B8</f>
        <v xml:space="preserve"> 2023-09</v>
      </c>
      <c r="E8" s="125" t="str">
        <f>C8</f>
        <v xml:space="preserve"> 2022-09</v>
      </c>
      <c r="F8" s="123" t="str">
        <f>Innehåll!D81</f>
        <v>YTD  2023</v>
      </c>
      <c r="G8" s="123" t="str">
        <f>Innehåll!D82</f>
        <v>YTD  2022</v>
      </c>
      <c r="H8" s="126" t="str">
        <f>F8</f>
        <v>YTD  2023</v>
      </c>
      <c r="I8" s="127" t="str">
        <f>G8</f>
        <v>YTD  2022</v>
      </c>
      <c r="J8" s="128" t="str">
        <f>B8</f>
        <v xml:space="preserve"> 2023-09</v>
      </c>
      <c r="K8" s="126" t="str">
        <f>F8</f>
        <v>YTD  2023</v>
      </c>
      <c r="L8" s="25"/>
    </row>
    <row r="9" spans="1:15" ht="15" hidden="1" customHeight="1">
      <c r="A9" s="61" t="s">
        <v>332</v>
      </c>
      <c r="B9" s="61" t="s">
        <v>26</v>
      </c>
      <c r="C9" s="61" t="s">
        <v>298</v>
      </c>
      <c r="D9" s="61" t="s">
        <v>333</v>
      </c>
      <c r="E9" s="61" t="s">
        <v>334</v>
      </c>
      <c r="F9" s="61" t="s">
        <v>299</v>
      </c>
      <c r="G9" s="61" t="s">
        <v>300</v>
      </c>
      <c r="H9" s="61" t="s">
        <v>335</v>
      </c>
      <c r="I9" s="61" t="s">
        <v>336</v>
      </c>
      <c r="J9" s="61" t="s">
        <v>337</v>
      </c>
      <c r="K9" s="61" t="s">
        <v>340</v>
      </c>
      <c r="L9" s="61"/>
      <c r="M9" s="8"/>
      <c r="N9" s="8"/>
      <c r="O9" s="8"/>
    </row>
    <row r="10" spans="1:15">
      <c r="A10" s="61" t="s">
        <v>978</v>
      </c>
      <c r="B10" s="61">
        <v>17917</v>
      </c>
      <c r="C10" s="61">
        <v>12217</v>
      </c>
      <c r="D10" s="79">
        <f t="shared" ref="D10:D17" si="0">(B10/$B$18)*100</f>
        <v>63.682246312422251</v>
      </c>
      <c r="E10" s="79">
        <f t="shared" ref="E10:E17" si="1">(C10/$C$18)*100</f>
        <v>55.410921625544262</v>
      </c>
      <c r="F10" s="61">
        <v>124752</v>
      </c>
      <c r="G10" s="61">
        <v>105526</v>
      </c>
      <c r="H10" s="79">
        <f t="shared" ref="H10:H17" si="2">(F10/$F$18)*100</f>
        <v>59.414484995404081</v>
      </c>
      <c r="I10" s="79">
        <f t="shared" ref="I10:I17" si="3">(G10/$G$18)*100</f>
        <v>51.566653635652862</v>
      </c>
      <c r="J10" s="58">
        <f t="shared" ref="J10:J17" si="4">((( B10  / C10) - 1) * 100)</f>
        <v>46.65629860031104</v>
      </c>
      <c r="K10" s="58">
        <f t="shared" ref="K10:K17" si="5">((( F10  / G10) - 1) * 100)</f>
        <v>18.219206641017372</v>
      </c>
      <c r="L10" s="61"/>
      <c r="M10" s="8"/>
      <c r="N10" s="8"/>
      <c r="O10" s="8"/>
    </row>
    <row r="11" spans="1:15">
      <c r="A11" s="61" t="s">
        <v>979</v>
      </c>
      <c r="B11" s="61">
        <v>59</v>
      </c>
      <c r="C11" s="61">
        <v>90</v>
      </c>
      <c r="D11" s="79">
        <f t="shared" si="0"/>
        <v>0.20970321663408564</v>
      </c>
      <c r="E11" s="58">
        <f t="shared" si="1"/>
        <v>0.40820029027576199</v>
      </c>
      <c r="F11" s="61">
        <v>651</v>
      </c>
      <c r="G11" s="61">
        <v>1465</v>
      </c>
      <c r="H11" s="58">
        <f t="shared" si="2"/>
        <v>0.31004576866108807</v>
      </c>
      <c r="I11" s="58">
        <f t="shared" si="3"/>
        <v>0.7158913213448006</v>
      </c>
      <c r="J11" s="58">
        <f t="shared" si="4"/>
        <v>-34.444444444444443</v>
      </c>
      <c r="K11" s="58">
        <f t="shared" si="5"/>
        <v>-55.563139931740615</v>
      </c>
      <c r="L11" s="61"/>
      <c r="M11" s="8"/>
      <c r="N11" s="8"/>
      <c r="O11" s="8"/>
    </row>
    <row r="12" spans="1:15">
      <c r="A12" s="61" t="s">
        <v>586</v>
      </c>
      <c r="B12" s="61">
        <v>8</v>
      </c>
      <c r="C12" s="61">
        <v>2</v>
      </c>
      <c r="D12" s="79">
        <f t="shared" si="0"/>
        <v>2.8434334458859074E-2</v>
      </c>
      <c r="E12" s="58">
        <f t="shared" si="1"/>
        <v>9.071117561683599E-3</v>
      </c>
      <c r="F12" s="61">
        <v>73</v>
      </c>
      <c r="G12" s="61">
        <v>140</v>
      </c>
      <c r="H12" s="58">
        <f t="shared" si="2"/>
        <v>3.4767037038800963E-2</v>
      </c>
      <c r="I12" s="58">
        <f t="shared" si="3"/>
        <v>6.841282251759187E-2</v>
      </c>
      <c r="J12" s="58">
        <f t="shared" si="4"/>
        <v>300</v>
      </c>
      <c r="K12" s="58">
        <f t="shared" si="5"/>
        <v>-47.857142857142854</v>
      </c>
      <c r="L12" s="61"/>
      <c r="M12" s="8"/>
      <c r="N12" s="8"/>
      <c r="O12" s="8"/>
    </row>
    <row r="13" spans="1:15">
      <c r="A13" s="61" t="s">
        <v>587</v>
      </c>
      <c r="B13" s="61">
        <v>190</v>
      </c>
      <c r="C13" s="61">
        <v>289</v>
      </c>
      <c r="D13" s="79">
        <f t="shared" si="0"/>
        <v>0.67531544339790295</v>
      </c>
      <c r="E13" s="58">
        <f t="shared" si="1"/>
        <v>1.3107764876632801</v>
      </c>
      <c r="F13" s="61">
        <v>2605</v>
      </c>
      <c r="G13" s="61">
        <v>2167</v>
      </c>
      <c r="H13" s="58">
        <f t="shared" si="2"/>
        <v>1.2406593354257056</v>
      </c>
      <c r="I13" s="58">
        <f t="shared" si="3"/>
        <v>1.0589327599687255</v>
      </c>
      <c r="J13" s="58">
        <f t="shared" si="4"/>
        <v>-34.256055363321799</v>
      </c>
      <c r="K13" s="58">
        <f t="shared" si="5"/>
        <v>20.212275034610052</v>
      </c>
      <c r="L13" s="61"/>
      <c r="M13" s="8"/>
      <c r="N13" s="8"/>
      <c r="O13" s="8"/>
    </row>
    <row r="14" spans="1:15">
      <c r="A14" s="61" t="s">
        <v>588</v>
      </c>
      <c r="B14" s="61">
        <v>1812</v>
      </c>
      <c r="C14" s="61">
        <v>2060</v>
      </c>
      <c r="D14" s="79">
        <f t="shared" si="0"/>
        <v>6.44037675493158</v>
      </c>
      <c r="E14" s="58">
        <f t="shared" si="1"/>
        <v>9.3432510885341067</v>
      </c>
      <c r="F14" s="61">
        <v>15998</v>
      </c>
      <c r="G14" s="61">
        <v>18349</v>
      </c>
      <c r="H14" s="58">
        <f t="shared" si="2"/>
        <v>7.6192199800922999</v>
      </c>
      <c r="I14" s="58">
        <f t="shared" si="3"/>
        <v>8.966477716966379</v>
      </c>
      <c r="J14" s="58">
        <f t="shared" si="4"/>
        <v>-12.038834951456312</v>
      </c>
      <c r="K14" s="58">
        <f t="shared" si="5"/>
        <v>-12.812687339909534</v>
      </c>
      <c r="L14" s="61"/>
      <c r="M14" s="8"/>
      <c r="N14" s="8"/>
      <c r="O14" s="8"/>
    </row>
    <row r="15" spans="1:15">
      <c r="A15" s="61" t="s">
        <v>338</v>
      </c>
      <c r="B15" s="61">
        <v>1726</v>
      </c>
      <c r="C15" s="61">
        <v>1774</v>
      </c>
      <c r="D15" s="79">
        <f t="shared" si="0"/>
        <v>6.1347076594988446</v>
      </c>
      <c r="E15" s="58">
        <f t="shared" si="1"/>
        <v>8.0460812772133536</v>
      </c>
      <c r="F15" s="61">
        <v>13714</v>
      </c>
      <c r="G15" s="61">
        <v>13191</v>
      </c>
      <c r="H15" s="58">
        <f t="shared" si="2"/>
        <v>6.5314403554810472</v>
      </c>
      <c r="I15" s="58">
        <f t="shared" si="3"/>
        <v>6.4459538702111017</v>
      </c>
      <c r="J15" s="58">
        <f t="shared" si="4"/>
        <v>-2.7057497181510737</v>
      </c>
      <c r="K15" s="58">
        <f t="shared" si="5"/>
        <v>3.9648245015540873</v>
      </c>
      <c r="L15" s="61"/>
      <c r="M15" s="8"/>
      <c r="N15" s="8"/>
      <c r="O15" s="8"/>
    </row>
    <row r="16" spans="1:15">
      <c r="A16" s="61" t="s">
        <v>339</v>
      </c>
      <c r="B16" s="61">
        <v>1995</v>
      </c>
      <c r="C16" s="61">
        <v>1484</v>
      </c>
      <c r="D16" s="79">
        <f t="shared" si="0"/>
        <v>7.0908121556779804</v>
      </c>
      <c r="E16" s="58">
        <f t="shared" si="1"/>
        <v>6.7307692307692308</v>
      </c>
      <c r="F16" s="61">
        <v>16873</v>
      </c>
      <c r="G16" s="61">
        <v>15554</v>
      </c>
      <c r="H16" s="58">
        <f t="shared" si="2"/>
        <v>8.035948163776558</v>
      </c>
      <c r="I16" s="58">
        <f t="shared" si="3"/>
        <v>7.6006645817044571</v>
      </c>
      <c r="J16" s="58">
        <f t="shared" si="4"/>
        <v>34.433962264150942</v>
      </c>
      <c r="K16" s="58">
        <f t="shared" si="5"/>
        <v>8.4801337276584796</v>
      </c>
      <c r="L16" s="61"/>
      <c r="M16" s="8"/>
      <c r="N16" s="8"/>
      <c r="O16" s="8"/>
    </row>
    <row r="17" spans="1:17">
      <c r="A17" s="146" t="s">
        <v>23</v>
      </c>
      <c r="B17" s="146">
        <v>4428</v>
      </c>
      <c r="C17" s="146">
        <v>4132</v>
      </c>
      <c r="D17" s="155">
        <f t="shared" si="0"/>
        <v>15.738404122978498</v>
      </c>
      <c r="E17" s="147">
        <f t="shared" si="1"/>
        <v>18.740928882438315</v>
      </c>
      <c r="F17" s="146">
        <v>35303</v>
      </c>
      <c r="G17" s="146">
        <v>48248</v>
      </c>
      <c r="H17" s="147">
        <f t="shared" si="2"/>
        <v>16.813434364120418</v>
      </c>
      <c r="I17" s="147">
        <f t="shared" si="3"/>
        <v>23.577013291634088</v>
      </c>
      <c r="J17" s="147">
        <f t="shared" si="4"/>
        <v>7.1636011616650563</v>
      </c>
      <c r="K17" s="147">
        <f t="shared" si="5"/>
        <v>-26.830127673685954</v>
      </c>
      <c r="L17" s="61"/>
      <c r="M17" s="8"/>
      <c r="N17" s="8"/>
      <c r="O17" s="8"/>
    </row>
    <row r="18" spans="1:17">
      <c r="A18" s="81" t="s">
        <v>454</v>
      </c>
      <c r="B18" s="81">
        <f>SUM(B10:B17)</f>
        <v>28135</v>
      </c>
      <c r="C18" s="210">
        <f>SUM(C10:C17)</f>
        <v>22048</v>
      </c>
      <c r="D18" s="82">
        <f t="shared" ref="D18" si="6">(B18/$B$18)*100</f>
        <v>100</v>
      </c>
      <c r="E18" s="82">
        <f t="shared" ref="E18" si="7">(C18/$C$18)*100</f>
        <v>100</v>
      </c>
      <c r="F18" s="210">
        <f>SUM(F10:F17)</f>
        <v>209969</v>
      </c>
      <c r="G18" s="210">
        <f>SUM(G10:G17)</f>
        <v>204640</v>
      </c>
      <c r="H18" s="82">
        <f t="shared" ref="H18" si="8">(F18/$F$18)*100</f>
        <v>100</v>
      </c>
      <c r="I18" s="82">
        <f t="shared" ref="I18" si="9">(G18/$G$18)*100</f>
        <v>100</v>
      </c>
      <c r="J18" s="83">
        <f>((( B18  / C18) - 1) * 100)</f>
        <v>27.607946298984043</v>
      </c>
      <c r="K18" s="83">
        <f>((( F18  / G18) - 1) * 100)</f>
        <v>2.6040852228303324</v>
      </c>
      <c r="L18" s="79"/>
      <c r="M18" s="4"/>
      <c r="N18" s="4"/>
      <c r="O18" s="8"/>
      <c r="P18" s="8"/>
      <c r="Q18" s="8"/>
    </row>
    <row r="19" spans="1:17">
      <c r="Q19" s="15"/>
    </row>
    <row r="24" spans="1:17">
      <c r="A24" s="4" t="s">
        <v>678</v>
      </c>
    </row>
  </sheetData>
  <mergeCells count="5">
    <mergeCell ref="B7:C7"/>
    <mergeCell ref="D7:E7"/>
    <mergeCell ref="H7:I7"/>
    <mergeCell ref="J7:K7"/>
    <mergeCell ref="G6:K6"/>
  </mergeCells>
  <dataValidations count="4">
    <dataValidation allowBlank="1" showInputMessage="1" showErrorMessage="1" prompt="antalet registreringar ackumulerat från föregående års början t.o.m den aktuella månaden i föregående år." sqref="I8" xr:uid="{00000000-0002-0000-0A00-000000000000}"/>
    <dataValidation allowBlank="1" showInputMessage="1" showErrorMessage="1" prompt="visar antalet registreringar för den aktuella månaden föregående år." sqref="E8" xr:uid="{00000000-0002-0000-0A00-000001000000}"/>
    <dataValidation allowBlank="1" showInputMessage="1" showErrorMessage="1" prompt="visar antalet registreringar för den aktuella månaden i år." sqref="B8:D8 J8 F8:G8" xr:uid="{00000000-0002-0000-0A00-000002000000}"/>
    <dataValidation allowBlank="1" showInputMessage="1" showErrorMessage="1" prompt="förändring i marknads-andelen ackumulerat från årets början t.o.m den aktuella månaden." sqref="H8 K8" xr:uid="{00000000-0002-0000-0A00-000003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Q84"/>
  <sheetViews>
    <sheetView workbookViewId="0">
      <pane ySplit="8" topLeftCell="A9" activePane="bottomLeft" state="frozen"/>
      <selection pane="bottomLeft" activeCell="S9" sqref="S9"/>
    </sheetView>
  </sheetViews>
  <sheetFormatPr baseColWidth="10" defaultColWidth="8.83203125" defaultRowHeight="15"/>
  <cols>
    <col min="1" max="1" width="17" customWidth="1"/>
    <col min="2" max="5" width="11.6640625" customWidth="1"/>
    <col min="6" max="7" width="8.6640625" customWidth="1"/>
    <col min="8" max="9" width="11.6640625" style="5" customWidth="1"/>
    <col min="10" max="13" width="11.6640625" customWidth="1"/>
    <col min="14" max="15" width="8.6640625" customWidth="1"/>
    <col min="16" max="17" width="11.6640625" style="5" customWidth="1"/>
  </cols>
  <sheetData>
    <row r="1" spans="1:17">
      <c r="H1"/>
      <c r="I1"/>
      <c r="P1"/>
      <c r="Q1"/>
    </row>
    <row r="2" spans="1:17" ht="19.25" customHeight="1" thickBot="1">
      <c r="C2" s="9"/>
      <c r="D2" s="56" t="s">
        <v>240</v>
      </c>
      <c r="E2" s="56"/>
      <c r="F2" s="56"/>
      <c r="G2" s="56"/>
      <c r="H2" s="56"/>
      <c r="I2" s="56"/>
      <c r="J2" s="56"/>
      <c r="P2"/>
      <c r="Q2"/>
    </row>
    <row r="4" spans="1:17" ht="15.75" customHeight="1">
      <c r="A4" s="86" t="s">
        <v>457</v>
      </c>
      <c r="B4" s="25"/>
      <c r="C4" s="25"/>
      <c r="D4" s="25"/>
      <c r="E4" s="25"/>
      <c r="F4" s="25"/>
      <c r="G4" s="25"/>
      <c r="H4" s="38"/>
      <c r="I4" s="38"/>
      <c r="J4" s="25"/>
      <c r="K4" s="25"/>
      <c r="L4" s="25"/>
      <c r="M4" s="25"/>
      <c r="N4" s="25"/>
      <c r="O4" s="25"/>
      <c r="P4" s="38"/>
      <c r="Q4" s="38"/>
    </row>
    <row r="5" spans="1:17">
      <c r="A5" s="129"/>
      <c r="B5" s="269" t="str">
        <f>Innehåll!D75</f>
        <v>September</v>
      </c>
      <c r="C5" s="271"/>
      <c r="D5" s="271"/>
      <c r="E5" s="271"/>
      <c r="F5" s="271"/>
      <c r="G5" s="271"/>
      <c r="H5" s="271"/>
      <c r="I5" s="271"/>
      <c r="J5" s="269" t="str">
        <f>Innehåll!D76</f>
        <v>Januari - september</v>
      </c>
      <c r="K5" s="271"/>
      <c r="L5" s="271"/>
      <c r="M5" s="271"/>
      <c r="N5" s="271"/>
      <c r="O5" s="271"/>
      <c r="P5" s="271"/>
      <c r="Q5" s="271"/>
    </row>
    <row r="6" spans="1:17">
      <c r="A6" s="129"/>
      <c r="B6" s="269" t="s">
        <v>540</v>
      </c>
      <c r="C6" s="270"/>
      <c r="D6" s="269" t="s">
        <v>541</v>
      </c>
      <c r="E6" s="270"/>
      <c r="F6" s="269" t="s">
        <v>542</v>
      </c>
      <c r="G6" s="270"/>
      <c r="H6" s="269" t="s">
        <v>454</v>
      </c>
      <c r="I6" s="270"/>
      <c r="J6" s="269" t="s">
        <v>540</v>
      </c>
      <c r="K6" s="270"/>
      <c r="L6" s="269" t="s">
        <v>541</v>
      </c>
      <c r="M6" s="270"/>
      <c r="N6" s="269" t="s">
        <v>542</v>
      </c>
      <c r="O6" s="270"/>
      <c r="P6" s="269" t="s">
        <v>454</v>
      </c>
      <c r="Q6" s="271"/>
    </row>
    <row r="7" spans="1:17">
      <c r="A7" s="129" t="s">
        <v>463</v>
      </c>
      <c r="B7" s="129" t="str">
        <f>Innehåll!D77</f>
        <v xml:space="preserve"> 2023</v>
      </c>
      <c r="C7" s="129" t="str">
        <f>Innehåll!D78</f>
        <v xml:space="preserve"> 2022</v>
      </c>
      <c r="D7" s="129" t="str">
        <f>B7</f>
        <v xml:space="preserve"> 2023</v>
      </c>
      <c r="E7" s="129" t="str">
        <f>C7</f>
        <v xml:space="preserve"> 2022</v>
      </c>
      <c r="F7" s="129" t="str">
        <f>B7</f>
        <v xml:space="preserve"> 2023</v>
      </c>
      <c r="G7" s="129" t="str">
        <f>C7</f>
        <v xml:space="preserve"> 2022</v>
      </c>
      <c r="H7" s="129" t="str">
        <f>B7</f>
        <v xml:space="preserve"> 2023</v>
      </c>
      <c r="I7" s="129" t="str">
        <f>C7</f>
        <v xml:space="preserve"> 2022</v>
      </c>
      <c r="J7" s="129" t="str">
        <f>B7</f>
        <v xml:space="preserve"> 2023</v>
      </c>
      <c r="K7" s="129" t="str">
        <f>C7</f>
        <v xml:space="preserve"> 2022</v>
      </c>
      <c r="L7" s="129" t="str">
        <f>B7</f>
        <v xml:space="preserve"> 2023</v>
      </c>
      <c r="M7" s="129" t="str">
        <f>C7</f>
        <v xml:space="preserve"> 2022</v>
      </c>
      <c r="N7" s="129" t="str">
        <f>B7</f>
        <v xml:space="preserve"> 2023</v>
      </c>
      <c r="O7" s="129" t="str">
        <f>C7</f>
        <v xml:space="preserve"> 2022</v>
      </c>
      <c r="P7" s="129" t="str">
        <f>B7</f>
        <v xml:space="preserve"> 2023</v>
      </c>
      <c r="Q7" s="129" t="str">
        <f>C7</f>
        <v xml:space="preserve"> 2022</v>
      </c>
    </row>
    <row r="8" spans="1:17" ht="15" hidden="1" customHeight="1">
      <c r="A8" s="25" t="s">
        <v>241</v>
      </c>
      <c r="B8" s="25" t="s">
        <v>242</v>
      </c>
      <c r="C8" s="25" t="s">
        <v>243</v>
      </c>
      <c r="D8" s="25" t="s">
        <v>244</v>
      </c>
      <c r="E8" s="25" t="s">
        <v>245</v>
      </c>
      <c r="F8" s="25" t="s">
        <v>246</v>
      </c>
      <c r="G8" s="25" t="s">
        <v>247</v>
      </c>
      <c r="H8" s="38" t="s">
        <v>248</v>
      </c>
      <c r="I8" s="38" t="s">
        <v>249</v>
      </c>
      <c r="J8" s="25" t="s">
        <v>250</v>
      </c>
      <c r="K8" s="25" t="s">
        <v>251</v>
      </c>
      <c r="L8" s="25" t="s">
        <v>252</v>
      </c>
      <c r="M8" s="25" t="s">
        <v>253</v>
      </c>
      <c r="N8" s="25" t="s">
        <v>254</v>
      </c>
      <c r="O8" s="25" t="s">
        <v>255</v>
      </c>
      <c r="P8" s="38" t="s">
        <v>256</v>
      </c>
      <c r="Q8" s="38" t="s">
        <v>257</v>
      </c>
    </row>
    <row r="9" spans="1:17">
      <c r="A9" s="25" t="s">
        <v>258</v>
      </c>
      <c r="B9" s="61">
        <v>1</v>
      </c>
      <c r="C9" s="61">
        <v>0</v>
      </c>
      <c r="D9" s="61">
        <v>18</v>
      </c>
      <c r="E9" s="61">
        <v>7</v>
      </c>
      <c r="F9" s="25">
        <v>94.7</v>
      </c>
      <c r="G9" s="25">
        <v>100</v>
      </c>
      <c r="H9" s="85">
        <v>19</v>
      </c>
      <c r="I9" s="85">
        <v>7</v>
      </c>
      <c r="J9" s="61">
        <v>15</v>
      </c>
      <c r="K9" s="61">
        <v>10</v>
      </c>
      <c r="L9" s="61">
        <v>194</v>
      </c>
      <c r="M9" s="61">
        <v>54</v>
      </c>
      <c r="N9" s="25">
        <v>92.8</v>
      </c>
      <c r="O9" s="25">
        <v>84.4</v>
      </c>
      <c r="P9" s="85">
        <v>209</v>
      </c>
      <c r="Q9" s="85">
        <v>64</v>
      </c>
    </row>
    <row r="10" spans="1:17">
      <c r="A10" s="25" t="s">
        <v>552</v>
      </c>
      <c r="B10" s="61">
        <v>0</v>
      </c>
      <c r="C10" s="61">
        <v>2</v>
      </c>
      <c r="D10" s="61">
        <v>1</v>
      </c>
      <c r="E10" s="61">
        <v>0</v>
      </c>
      <c r="F10" s="25">
        <v>100</v>
      </c>
      <c r="G10" s="25">
        <v>0</v>
      </c>
      <c r="H10" s="85">
        <v>1</v>
      </c>
      <c r="I10" s="85">
        <v>2</v>
      </c>
      <c r="J10" s="61">
        <v>0</v>
      </c>
      <c r="K10" s="61">
        <v>6</v>
      </c>
      <c r="L10" s="61">
        <v>5</v>
      </c>
      <c r="M10" s="61">
        <v>4</v>
      </c>
      <c r="N10" s="25">
        <v>100</v>
      </c>
      <c r="O10" s="25">
        <v>40</v>
      </c>
      <c r="P10" s="85">
        <v>5</v>
      </c>
      <c r="Q10" s="85">
        <v>10</v>
      </c>
    </row>
    <row r="11" spans="1:17">
      <c r="A11" s="25" t="s">
        <v>259</v>
      </c>
      <c r="B11" s="61">
        <v>454</v>
      </c>
      <c r="C11" s="61">
        <v>332</v>
      </c>
      <c r="D11" s="61">
        <v>1046</v>
      </c>
      <c r="E11" s="61">
        <v>639</v>
      </c>
      <c r="F11" s="25">
        <v>69.7</v>
      </c>
      <c r="G11" s="25">
        <v>65.8</v>
      </c>
      <c r="H11" s="85">
        <v>1500</v>
      </c>
      <c r="I11" s="85">
        <v>971</v>
      </c>
      <c r="J11" s="61">
        <v>4598</v>
      </c>
      <c r="K11" s="61">
        <v>3678</v>
      </c>
      <c r="L11" s="61">
        <v>8399</v>
      </c>
      <c r="M11" s="61">
        <v>5489</v>
      </c>
      <c r="N11" s="25">
        <v>64.599999999999994</v>
      </c>
      <c r="O11" s="25">
        <v>59.9</v>
      </c>
      <c r="P11" s="85">
        <v>12997</v>
      </c>
      <c r="Q11" s="85">
        <v>9167</v>
      </c>
    </row>
    <row r="12" spans="1:17">
      <c r="A12" s="25" t="s">
        <v>260</v>
      </c>
      <c r="B12" s="61">
        <v>1</v>
      </c>
      <c r="C12" s="61">
        <v>1</v>
      </c>
      <c r="D12" s="61">
        <v>1</v>
      </c>
      <c r="E12" s="61">
        <v>0</v>
      </c>
      <c r="F12" s="25">
        <v>50</v>
      </c>
      <c r="G12" s="25">
        <v>0</v>
      </c>
      <c r="H12" s="85">
        <v>2</v>
      </c>
      <c r="I12" s="85">
        <v>1</v>
      </c>
      <c r="J12" s="61">
        <v>10</v>
      </c>
      <c r="K12" s="61">
        <v>12</v>
      </c>
      <c r="L12" s="61">
        <v>15</v>
      </c>
      <c r="M12" s="61">
        <v>10</v>
      </c>
      <c r="N12" s="25">
        <v>60</v>
      </c>
      <c r="O12" s="25">
        <v>45.5</v>
      </c>
      <c r="P12" s="85">
        <v>25</v>
      </c>
      <c r="Q12" s="85">
        <v>22</v>
      </c>
    </row>
    <row r="13" spans="1:17">
      <c r="A13" s="25" t="s">
        <v>261</v>
      </c>
      <c r="B13" s="61">
        <v>176</v>
      </c>
      <c r="C13" s="61">
        <v>403</v>
      </c>
      <c r="D13" s="61">
        <v>1056</v>
      </c>
      <c r="E13" s="61">
        <v>880</v>
      </c>
      <c r="F13" s="25">
        <v>85.7</v>
      </c>
      <c r="G13" s="25">
        <v>68.599999999999994</v>
      </c>
      <c r="H13" s="85">
        <v>1232</v>
      </c>
      <c r="I13" s="85">
        <v>1283</v>
      </c>
      <c r="J13" s="61">
        <v>1984</v>
      </c>
      <c r="K13" s="61">
        <v>4629</v>
      </c>
      <c r="L13" s="61">
        <v>9480</v>
      </c>
      <c r="M13" s="61">
        <v>7733</v>
      </c>
      <c r="N13" s="25">
        <v>82.7</v>
      </c>
      <c r="O13" s="25">
        <v>62.6</v>
      </c>
      <c r="P13" s="85">
        <v>11464</v>
      </c>
      <c r="Q13" s="85">
        <v>12362</v>
      </c>
    </row>
    <row r="14" spans="1:17">
      <c r="A14" s="25" t="s">
        <v>674</v>
      </c>
      <c r="B14" s="61">
        <v>590</v>
      </c>
      <c r="C14" s="61">
        <v>0</v>
      </c>
      <c r="D14" s="61">
        <v>11</v>
      </c>
      <c r="E14" s="61">
        <v>0</v>
      </c>
      <c r="F14" s="25">
        <v>1.8</v>
      </c>
      <c r="G14" s="25">
        <v>0</v>
      </c>
      <c r="H14" s="85">
        <v>601</v>
      </c>
      <c r="I14" s="85">
        <v>0</v>
      </c>
      <c r="J14" s="61">
        <v>1937</v>
      </c>
      <c r="K14" s="61">
        <v>0</v>
      </c>
      <c r="L14" s="61">
        <v>549</v>
      </c>
      <c r="M14" s="61">
        <v>0</v>
      </c>
      <c r="N14" s="25">
        <v>22.1</v>
      </c>
      <c r="O14" s="25">
        <v>0</v>
      </c>
      <c r="P14" s="85">
        <v>2486</v>
      </c>
      <c r="Q14" s="85">
        <v>0</v>
      </c>
    </row>
    <row r="15" spans="1:17">
      <c r="A15" s="25" t="s">
        <v>671</v>
      </c>
      <c r="B15" s="61">
        <v>0</v>
      </c>
      <c r="C15" s="61">
        <v>1</v>
      </c>
      <c r="D15" s="61">
        <v>2</v>
      </c>
      <c r="E15" s="61">
        <v>1</v>
      </c>
      <c r="F15" s="25">
        <v>100</v>
      </c>
      <c r="G15" s="25">
        <v>50</v>
      </c>
      <c r="H15" s="85">
        <v>2</v>
      </c>
      <c r="I15" s="85">
        <v>2</v>
      </c>
      <c r="J15" s="61">
        <v>4</v>
      </c>
      <c r="K15" s="61">
        <v>4</v>
      </c>
      <c r="L15" s="61">
        <v>8</v>
      </c>
      <c r="M15" s="61">
        <v>7</v>
      </c>
      <c r="N15" s="25">
        <v>66.7</v>
      </c>
      <c r="O15" s="25">
        <v>63.6</v>
      </c>
      <c r="P15" s="85">
        <v>12</v>
      </c>
      <c r="Q15" s="85">
        <v>11</v>
      </c>
    </row>
    <row r="16" spans="1:17">
      <c r="A16" s="25" t="s">
        <v>262</v>
      </c>
      <c r="B16" s="61">
        <v>3</v>
      </c>
      <c r="C16" s="61">
        <v>5</v>
      </c>
      <c r="D16" s="61">
        <v>3</v>
      </c>
      <c r="E16" s="61">
        <v>6</v>
      </c>
      <c r="F16" s="25">
        <v>50</v>
      </c>
      <c r="G16" s="25">
        <v>54.5</v>
      </c>
      <c r="H16" s="85">
        <v>6</v>
      </c>
      <c r="I16" s="85">
        <v>11</v>
      </c>
      <c r="J16" s="61">
        <v>22</v>
      </c>
      <c r="K16" s="61">
        <v>22</v>
      </c>
      <c r="L16" s="61">
        <v>30</v>
      </c>
      <c r="M16" s="61">
        <v>32</v>
      </c>
      <c r="N16" s="25">
        <v>57.7</v>
      </c>
      <c r="O16" s="25">
        <v>59.3</v>
      </c>
      <c r="P16" s="85">
        <v>52</v>
      </c>
      <c r="Q16" s="85">
        <v>54</v>
      </c>
    </row>
    <row r="17" spans="1:17">
      <c r="A17" s="25" t="s">
        <v>263</v>
      </c>
      <c r="B17" s="61">
        <v>152</v>
      </c>
      <c r="C17" s="61">
        <v>215</v>
      </c>
      <c r="D17" s="61">
        <v>120</v>
      </c>
      <c r="E17" s="61">
        <v>87</v>
      </c>
      <c r="F17" s="25">
        <v>44.1</v>
      </c>
      <c r="G17" s="25">
        <v>28.8</v>
      </c>
      <c r="H17" s="85">
        <v>272</v>
      </c>
      <c r="I17" s="85">
        <v>302</v>
      </c>
      <c r="J17" s="61">
        <v>973</v>
      </c>
      <c r="K17" s="61">
        <v>1157</v>
      </c>
      <c r="L17" s="61">
        <v>2005</v>
      </c>
      <c r="M17" s="61">
        <v>1793</v>
      </c>
      <c r="N17" s="25">
        <v>67.3</v>
      </c>
      <c r="O17" s="25">
        <v>60.8</v>
      </c>
      <c r="P17" s="85">
        <v>2978</v>
      </c>
      <c r="Q17" s="85">
        <v>2950</v>
      </c>
    </row>
    <row r="18" spans="1:17">
      <c r="A18" s="25" t="s">
        <v>1063</v>
      </c>
      <c r="B18" s="61">
        <v>105</v>
      </c>
      <c r="C18" s="61">
        <v>0</v>
      </c>
      <c r="D18" s="61">
        <v>447</v>
      </c>
      <c r="E18" s="61">
        <v>0</v>
      </c>
      <c r="F18" s="25">
        <v>81</v>
      </c>
      <c r="G18" s="25">
        <v>0</v>
      </c>
      <c r="H18" s="85">
        <v>552</v>
      </c>
      <c r="I18" s="85">
        <v>0</v>
      </c>
      <c r="J18" s="61">
        <v>1055</v>
      </c>
      <c r="K18" s="61">
        <v>0</v>
      </c>
      <c r="L18" s="61">
        <v>1436</v>
      </c>
      <c r="M18" s="61">
        <v>0</v>
      </c>
      <c r="N18" s="25">
        <v>57.6</v>
      </c>
      <c r="O18" s="25">
        <v>0</v>
      </c>
      <c r="P18" s="85">
        <v>2491</v>
      </c>
      <c r="Q18" s="85">
        <v>0</v>
      </c>
    </row>
    <row r="19" spans="1:17">
      <c r="A19" s="25" t="s">
        <v>264</v>
      </c>
      <c r="B19" s="61">
        <v>94</v>
      </c>
      <c r="C19" s="61">
        <v>111</v>
      </c>
      <c r="D19" s="61">
        <v>69</v>
      </c>
      <c r="E19" s="61">
        <v>115</v>
      </c>
      <c r="F19" s="25">
        <v>42.3</v>
      </c>
      <c r="G19" s="25">
        <v>50.9</v>
      </c>
      <c r="H19" s="85">
        <v>163</v>
      </c>
      <c r="I19" s="85">
        <v>226</v>
      </c>
      <c r="J19" s="61">
        <v>989</v>
      </c>
      <c r="K19" s="61">
        <v>1344</v>
      </c>
      <c r="L19" s="61">
        <v>1107</v>
      </c>
      <c r="M19" s="61">
        <v>893</v>
      </c>
      <c r="N19" s="25">
        <v>52.8</v>
      </c>
      <c r="O19" s="25">
        <v>39.9</v>
      </c>
      <c r="P19" s="85">
        <v>2096</v>
      </c>
      <c r="Q19" s="85">
        <v>2237</v>
      </c>
    </row>
    <row r="20" spans="1:17">
      <c r="A20" s="25" t="s">
        <v>296</v>
      </c>
      <c r="B20" s="61">
        <v>1</v>
      </c>
      <c r="C20" s="61">
        <v>19</v>
      </c>
      <c r="D20" s="61">
        <v>26</v>
      </c>
      <c r="E20" s="61">
        <v>22</v>
      </c>
      <c r="F20" s="25">
        <v>96.3</v>
      </c>
      <c r="G20" s="25">
        <v>53.7</v>
      </c>
      <c r="H20" s="85">
        <v>27</v>
      </c>
      <c r="I20" s="85">
        <v>41</v>
      </c>
      <c r="J20" s="61">
        <v>47</v>
      </c>
      <c r="K20" s="61">
        <v>201</v>
      </c>
      <c r="L20" s="61">
        <v>247</v>
      </c>
      <c r="M20" s="61">
        <v>172</v>
      </c>
      <c r="N20" s="25">
        <v>84</v>
      </c>
      <c r="O20" s="25">
        <v>46.1</v>
      </c>
      <c r="P20" s="85">
        <v>294</v>
      </c>
      <c r="Q20" s="85">
        <v>373</v>
      </c>
    </row>
    <row r="21" spans="1:17">
      <c r="A21" s="25" t="s">
        <v>672</v>
      </c>
      <c r="B21" s="61">
        <v>2</v>
      </c>
      <c r="C21" s="61">
        <v>1</v>
      </c>
      <c r="D21" s="61">
        <v>1</v>
      </c>
      <c r="E21" s="61">
        <v>3</v>
      </c>
      <c r="F21" s="25">
        <v>33.299999999999997</v>
      </c>
      <c r="G21" s="25">
        <v>75</v>
      </c>
      <c r="H21" s="85">
        <v>3</v>
      </c>
      <c r="I21" s="85">
        <v>4</v>
      </c>
      <c r="J21" s="61">
        <v>33</v>
      </c>
      <c r="K21" s="61">
        <v>36</v>
      </c>
      <c r="L21" s="61">
        <v>30</v>
      </c>
      <c r="M21" s="61">
        <v>21</v>
      </c>
      <c r="N21" s="25">
        <v>47.6</v>
      </c>
      <c r="O21" s="25">
        <v>36.799999999999997</v>
      </c>
      <c r="P21" s="85">
        <v>63</v>
      </c>
      <c r="Q21" s="85">
        <v>57</v>
      </c>
    </row>
    <row r="22" spans="1:17">
      <c r="A22" s="25" t="s">
        <v>265</v>
      </c>
      <c r="B22" s="61">
        <v>119</v>
      </c>
      <c r="C22" s="61">
        <v>238</v>
      </c>
      <c r="D22" s="61">
        <v>98</v>
      </c>
      <c r="E22" s="61">
        <v>22</v>
      </c>
      <c r="F22" s="25">
        <v>45.2</v>
      </c>
      <c r="G22" s="25">
        <v>8.5</v>
      </c>
      <c r="H22" s="85">
        <v>217</v>
      </c>
      <c r="I22" s="85">
        <v>260</v>
      </c>
      <c r="J22" s="61">
        <v>1087</v>
      </c>
      <c r="K22" s="61">
        <v>2066</v>
      </c>
      <c r="L22" s="61">
        <v>697</v>
      </c>
      <c r="M22" s="61">
        <v>386</v>
      </c>
      <c r="N22" s="25">
        <v>39.1</v>
      </c>
      <c r="O22" s="25">
        <v>15.7</v>
      </c>
      <c r="P22" s="85">
        <v>1784</v>
      </c>
      <c r="Q22" s="85">
        <v>2452</v>
      </c>
    </row>
    <row r="23" spans="1:17">
      <c r="A23" s="25" t="s">
        <v>266</v>
      </c>
      <c r="B23" s="61">
        <v>85</v>
      </c>
      <c r="C23" s="61">
        <v>332</v>
      </c>
      <c r="D23" s="61">
        <v>295</v>
      </c>
      <c r="E23" s="61">
        <v>478</v>
      </c>
      <c r="F23" s="25">
        <v>77.599999999999994</v>
      </c>
      <c r="G23" s="25">
        <v>59</v>
      </c>
      <c r="H23" s="85">
        <v>380</v>
      </c>
      <c r="I23" s="85">
        <v>810</v>
      </c>
      <c r="J23" s="61">
        <v>977</v>
      </c>
      <c r="K23" s="61">
        <v>3993</v>
      </c>
      <c r="L23" s="61">
        <v>3742</v>
      </c>
      <c r="M23" s="61">
        <v>3890</v>
      </c>
      <c r="N23" s="25">
        <v>79.3</v>
      </c>
      <c r="O23" s="25">
        <v>49.3</v>
      </c>
      <c r="P23" s="85">
        <v>4719</v>
      </c>
      <c r="Q23" s="85">
        <v>7883</v>
      </c>
    </row>
    <row r="24" spans="1:17">
      <c r="A24" s="25" t="s">
        <v>267</v>
      </c>
      <c r="B24" s="61">
        <v>58</v>
      </c>
      <c r="C24" s="61">
        <v>67</v>
      </c>
      <c r="D24" s="61">
        <v>65</v>
      </c>
      <c r="E24" s="61">
        <v>63</v>
      </c>
      <c r="F24" s="25">
        <v>52.8</v>
      </c>
      <c r="G24" s="25">
        <v>48.5</v>
      </c>
      <c r="H24" s="85">
        <v>123</v>
      </c>
      <c r="I24" s="85">
        <v>130</v>
      </c>
      <c r="J24" s="61">
        <v>300</v>
      </c>
      <c r="K24" s="61">
        <v>557</v>
      </c>
      <c r="L24" s="61">
        <v>330</v>
      </c>
      <c r="M24" s="61">
        <v>399</v>
      </c>
      <c r="N24" s="25">
        <v>52.4</v>
      </c>
      <c r="O24" s="25">
        <v>41.7</v>
      </c>
      <c r="P24" s="85">
        <v>630</v>
      </c>
      <c r="Q24" s="85">
        <v>956</v>
      </c>
    </row>
    <row r="25" spans="1:17">
      <c r="A25" s="25" t="s">
        <v>1051</v>
      </c>
      <c r="B25" s="61">
        <v>2</v>
      </c>
      <c r="C25" s="61">
        <v>0</v>
      </c>
      <c r="D25" s="61">
        <v>6</v>
      </c>
      <c r="E25" s="61">
        <v>0</v>
      </c>
      <c r="F25" s="25">
        <v>75</v>
      </c>
      <c r="G25" s="25">
        <v>0</v>
      </c>
      <c r="H25" s="85">
        <v>8</v>
      </c>
      <c r="I25" s="85">
        <v>0</v>
      </c>
      <c r="J25" s="61">
        <v>7</v>
      </c>
      <c r="K25" s="61">
        <v>0</v>
      </c>
      <c r="L25" s="61">
        <v>51</v>
      </c>
      <c r="M25" s="61">
        <v>0</v>
      </c>
      <c r="N25" s="25">
        <v>87.9</v>
      </c>
      <c r="O25" s="25">
        <v>0</v>
      </c>
      <c r="P25" s="85">
        <v>58</v>
      </c>
      <c r="Q25" s="85">
        <v>0</v>
      </c>
    </row>
    <row r="26" spans="1:17">
      <c r="A26" s="25" t="s">
        <v>268</v>
      </c>
      <c r="B26" s="61">
        <v>211</v>
      </c>
      <c r="C26" s="61">
        <v>307</v>
      </c>
      <c r="D26" s="61">
        <v>337</v>
      </c>
      <c r="E26" s="61">
        <v>214</v>
      </c>
      <c r="F26" s="25">
        <v>61.5</v>
      </c>
      <c r="G26" s="25">
        <v>41.1</v>
      </c>
      <c r="H26" s="85">
        <v>548</v>
      </c>
      <c r="I26" s="85">
        <v>521</v>
      </c>
      <c r="J26" s="61">
        <v>1864</v>
      </c>
      <c r="K26" s="61">
        <v>2285</v>
      </c>
      <c r="L26" s="61">
        <v>2164</v>
      </c>
      <c r="M26" s="61">
        <v>1816</v>
      </c>
      <c r="N26" s="25">
        <v>53.7</v>
      </c>
      <c r="O26" s="25">
        <v>44.3</v>
      </c>
      <c r="P26" s="85">
        <v>4028</v>
      </c>
      <c r="Q26" s="85">
        <v>4101</v>
      </c>
    </row>
    <row r="27" spans="1:17">
      <c r="A27" s="25" t="s">
        <v>1212</v>
      </c>
      <c r="B27" s="61">
        <v>2</v>
      </c>
      <c r="C27" s="61">
        <v>0</v>
      </c>
      <c r="D27" s="61">
        <v>6</v>
      </c>
      <c r="E27" s="61">
        <v>0</v>
      </c>
      <c r="F27" s="25">
        <v>75</v>
      </c>
      <c r="G27" s="25">
        <v>0</v>
      </c>
      <c r="H27" s="85">
        <v>8</v>
      </c>
      <c r="I27" s="85">
        <v>0</v>
      </c>
      <c r="J27" s="61">
        <v>10</v>
      </c>
      <c r="K27" s="61">
        <v>0</v>
      </c>
      <c r="L27" s="61">
        <v>22</v>
      </c>
      <c r="M27" s="61">
        <v>0</v>
      </c>
      <c r="N27" s="25">
        <v>68.8</v>
      </c>
      <c r="O27" s="25">
        <v>0</v>
      </c>
      <c r="P27" s="85">
        <v>32</v>
      </c>
      <c r="Q27" s="85">
        <v>0</v>
      </c>
    </row>
    <row r="28" spans="1:17">
      <c r="A28" s="25" t="s">
        <v>269</v>
      </c>
      <c r="B28" s="61">
        <v>1</v>
      </c>
      <c r="C28" s="61">
        <v>3</v>
      </c>
      <c r="D28" s="61">
        <v>1</v>
      </c>
      <c r="E28" s="61">
        <v>0</v>
      </c>
      <c r="F28" s="25">
        <v>50</v>
      </c>
      <c r="G28" s="25">
        <v>0</v>
      </c>
      <c r="H28" s="85">
        <v>2</v>
      </c>
      <c r="I28" s="85">
        <v>3</v>
      </c>
      <c r="J28" s="61">
        <v>26</v>
      </c>
      <c r="K28" s="61">
        <v>35</v>
      </c>
      <c r="L28" s="61">
        <v>4</v>
      </c>
      <c r="M28" s="61">
        <v>3</v>
      </c>
      <c r="N28" s="25">
        <v>13.3</v>
      </c>
      <c r="O28" s="25">
        <v>7.9</v>
      </c>
      <c r="P28" s="85">
        <v>30</v>
      </c>
      <c r="Q28" s="85">
        <v>38</v>
      </c>
    </row>
    <row r="29" spans="1:17">
      <c r="A29" s="25" t="s">
        <v>1273</v>
      </c>
      <c r="B29" s="61">
        <v>0</v>
      </c>
      <c r="C29" s="61">
        <v>0</v>
      </c>
      <c r="D29" s="61">
        <v>2</v>
      </c>
      <c r="E29" s="61">
        <v>0</v>
      </c>
      <c r="F29" s="25">
        <v>100</v>
      </c>
      <c r="G29" s="25">
        <v>0</v>
      </c>
      <c r="H29" s="85">
        <v>2</v>
      </c>
      <c r="I29" s="85">
        <v>0</v>
      </c>
      <c r="J29" s="61">
        <v>0</v>
      </c>
      <c r="K29" s="61">
        <v>0</v>
      </c>
      <c r="L29" s="61">
        <v>2</v>
      </c>
      <c r="M29" s="61">
        <v>0</v>
      </c>
      <c r="N29" s="25">
        <v>100</v>
      </c>
      <c r="O29" s="25">
        <v>0</v>
      </c>
      <c r="P29" s="85">
        <v>2</v>
      </c>
      <c r="Q29" s="85">
        <v>0</v>
      </c>
    </row>
    <row r="30" spans="1:17">
      <c r="A30" s="25" t="s">
        <v>270</v>
      </c>
      <c r="B30" s="61">
        <v>1</v>
      </c>
      <c r="C30" s="61">
        <v>1</v>
      </c>
      <c r="D30" s="61">
        <v>2</v>
      </c>
      <c r="E30" s="61">
        <v>3</v>
      </c>
      <c r="F30" s="25">
        <v>66.7</v>
      </c>
      <c r="G30" s="25">
        <v>75</v>
      </c>
      <c r="H30" s="85">
        <v>3</v>
      </c>
      <c r="I30" s="85">
        <v>4</v>
      </c>
      <c r="J30" s="61">
        <v>7</v>
      </c>
      <c r="K30" s="61">
        <v>16</v>
      </c>
      <c r="L30" s="61">
        <v>39</v>
      </c>
      <c r="M30" s="61">
        <v>73</v>
      </c>
      <c r="N30" s="25">
        <v>84.8</v>
      </c>
      <c r="O30" s="25">
        <v>82</v>
      </c>
      <c r="P30" s="85">
        <v>46</v>
      </c>
      <c r="Q30" s="85">
        <v>89</v>
      </c>
    </row>
    <row r="31" spans="1:17">
      <c r="A31" s="25" t="s">
        <v>271</v>
      </c>
      <c r="B31" s="61">
        <v>1</v>
      </c>
      <c r="C31" s="61">
        <v>2</v>
      </c>
      <c r="D31" s="61">
        <v>4</v>
      </c>
      <c r="E31" s="61">
        <v>8</v>
      </c>
      <c r="F31" s="25">
        <v>80</v>
      </c>
      <c r="G31" s="25">
        <v>80</v>
      </c>
      <c r="H31" s="85">
        <v>5</v>
      </c>
      <c r="I31" s="85">
        <v>10</v>
      </c>
      <c r="J31" s="61">
        <v>14</v>
      </c>
      <c r="K31" s="61">
        <v>68</v>
      </c>
      <c r="L31" s="61">
        <v>114</v>
      </c>
      <c r="M31" s="61">
        <v>225</v>
      </c>
      <c r="N31" s="25">
        <v>89.1</v>
      </c>
      <c r="O31" s="25">
        <v>76.8</v>
      </c>
      <c r="P31" s="85">
        <v>128</v>
      </c>
      <c r="Q31" s="85">
        <v>293</v>
      </c>
    </row>
    <row r="32" spans="1:17">
      <c r="A32" s="25" t="s">
        <v>272</v>
      </c>
      <c r="B32" s="61">
        <v>1223</v>
      </c>
      <c r="C32" s="61">
        <v>1290</v>
      </c>
      <c r="D32" s="61">
        <v>1059</v>
      </c>
      <c r="E32" s="61">
        <v>1046</v>
      </c>
      <c r="F32" s="25">
        <v>46.4</v>
      </c>
      <c r="G32" s="25">
        <v>44.8</v>
      </c>
      <c r="H32" s="85">
        <v>2282</v>
      </c>
      <c r="I32" s="85">
        <v>2336</v>
      </c>
      <c r="J32" s="61">
        <v>7955</v>
      </c>
      <c r="K32" s="61">
        <v>14906</v>
      </c>
      <c r="L32" s="61">
        <v>9360</v>
      </c>
      <c r="M32" s="61">
        <v>8174</v>
      </c>
      <c r="N32" s="25">
        <v>54.1</v>
      </c>
      <c r="O32" s="25">
        <v>35.4</v>
      </c>
      <c r="P32" s="85">
        <v>17315</v>
      </c>
      <c r="Q32" s="85">
        <v>23080</v>
      </c>
    </row>
    <row r="33" spans="1:17">
      <c r="A33" s="25" t="s">
        <v>273</v>
      </c>
      <c r="B33" s="61">
        <v>0</v>
      </c>
      <c r="C33" s="61">
        <v>4</v>
      </c>
      <c r="D33" s="61">
        <v>6</v>
      </c>
      <c r="E33" s="61">
        <v>2</v>
      </c>
      <c r="F33" s="25">
        <v>100</v>
      </c>
      <c r="G33" s="25">
        <v>33.299999999999997</v>
      </c>
      <c r="H33" s="85">
        <v>6</v>
      </c>
      <c r="I33" s="85">
        <v>6</v>
      </c>
      <c r="J33" s="61">
        <v>20</v>
      </c>
      <c r="K33" s="61">
        <v>28</v>
      </c>
      <c r="L33" s="61">
        <v>28</v>
      </c>
      <c r="M33" s="61">
        <v>23</v>
      </c>
      <c r="N33" s="25">
        <v>58.3</v>
      </c>
      <c r="O33" s="25">
        <v>45.1</v>
      </c>
      <c r="P33" s="85">
        <v>48</v>
      </c>
      <c r="Q33" s="85">
        <v>51</v>
      </c>
    </row>
    <row r="34" spans="1:17">
      <c r="A34" s="25" t="s">
        <v>274</v>
      </c>
      <c r="B34" s="61">
        <v>11</v>
      </c>
      <c r="C34" s="61">
        <v>9</v>
      </c>
      <c r="D34" s="61">
        <v>11</v>
      </c>
      <c r="E34" s="61">
        <v>55</v>
      </c>
      <c r="F34" s="25">
        <v>50</v>
      </c>
      <c r="G34" s="25">
        <v>85.9</v>
      </c>
      <c r="H34" s="85">
        <v>22</v>
      </c>
      <c r="I34" s="85">
        <v>64</v>
      </c>
      <c r="J34" s="61">
        <v>69</v>
      </c>
      <c r="K34" s="61">
        <v>102</v>
      </c>
      <c r="L34" s="61">
        <v>201</v>
      </c>
      <c r="M34" s="61">
        <v>288</v>
      </c>
      <c r="N34" s="25">
        <v>74.400000000000006</v>
      </c>
      <c r="O34" s="25">
        <v>73.8</v>
      </c>
      <c r="P34" s="85">
        <v>270</v>
      </c>
      <c r="Q34" s="85">
        <v>390</v>
      </c>
    </row>
    <row r="35" spans="1:17">
      <c r="A35" s="25" t="s">
        <v>1104</v>
      </c>
      <c r="B35" s="61">
        <v>0</v>
      </c>
      <c r="C35" s="61">
        <v>0</v>
      </c>
      <c r="D35" s="61">
        <v>0</v>
      </c>
      <c r="E35" s="61">
        <v>0</v>
      </c>
      <c r="F35" s="25">
        <v>0</v>
      </c>
      <c r="G35" s="25">
        <v>0</v>
      </c>
      <c r="H35" s="85">
        <v>0</v>
      </c>
      <c r="I35" s="85">
        <v>0</v>
      </c>
      <c r="J35" s="61">
        <v>0</v>
      </c>
      <c r="K35" s="61">
        <v>0</v>
      </c>
      <c r="L35" s="61">
        <v>1</v>
      </c>
      <c r="M35" s="61">
        <v>6</v>
      </c>
      <c r="N35" s="25">
        <v>100</v>
      </c>
      <c r="O35" s="25">
        <v>100</v>
      </c>
      <c r="P35" s="85">
        <v>1</v>
      </c>
      <c r="Q35" s="85">
        <v>6</v>
      </c>
    </row>
    <row r="36" spans="1:17">
      <c r="A36" s="25" t="s">
        <v>275</v>
      </c>
      <c r="B36" s="61">
        <v>115</v>
      </c>
      <c r="C36" s="61">
        <v>35</v>
      </c>
      <c r="D36" s="61">
        <v>200</v>
      </c>
      <c r="E36" s="61">
        <v>66</v>
      </c>
      <c r="F36" s="25">
        <v>63.5</v>
      </c>
      <c r="G36" s="25">
        <v>65.3</v>
      </c>
      <c r="H36" s="85">
        <v>315</v>
      </c>
      <c r="I36" s="85">
        <v>101</v>
      </c>
      <c r="J36" s="61">
        <v>701</v>
      </c>
      <c r="K36" s="61">
        <v>348</v>
      </c>
      <c r="L36" s="61">
        <v>1201</v>
      </c>
      <c r="M36" s="61">
        <v>458</v>
      </c>
      <c r="N36" s="25">
        <v>63.1</v>
      </c>
      <c r="O36" s="25">
        <v>56.8</v>
      </c>
      <c r="P36" s="85">
        <v>1902</v>
      </c>
      <c r="Q36" s="85">
        <v>806</v>
      </c>
    </row>
    <row r="37" spans="1:17">
      <c r="A37" s="25" t="s">
        <v>574</v>
      </c>
      <c r="B37" s="61">
        <v>0</v>
      </c>
      <c r="C37" s="61">
        <v>2</v>
      </c>
      <c r="D37" s="61">
        <v>54</v>
      </c>
      <c r="E37" s="61">
        <v>217</v>
      </c>
      <c r="F37" s="25">
        <v>100</v>
      </c>
      <c r="G37" s="25">
        <v>99.1</v>
      </c>
      <c r="H37" s="85">
        <v>54</v>
      </c>
      <c r="I37" s="85">
        <v>219</v>
      </c>
      <c r="J37" s="61">
        <v>0</v>
      </c>
      <c r="K37" s="61">
        <v>12</v>
      </c>
      <c r="L37" s="61">
        <v>1297</v>
      </c>
      <c r="M37" s="61">
        <v>1586</v>
      </c>
      <c r="N37" s="25">
        <v>100</v>
      </c>
      <c r="O37" s="25">
        <v>99.2</v>
      </c>
      <c r="P37" s="85">
        <v>1297</v>
      </c>
      <c r="Q37" s="85">
        <v>1598</v>
      </c>
    </row>
    <row r="38" spans="1:17">
      <c r="A38" s="25" t="s">
        <v>276</v>
      </c>
      <c r="B38" s="61">
        <v>2</v>
      </c>
      <c r="C38" s="61">
        <v>0</v>
      </c>
      <c r="D38" s="61">
        <v>0</v>
      </c>
      <c r="E38" s="61">
        <v>0</v>
      </c>
      <c r="F38" s="25">
        <v>0</v>
      </c>
      <c r="G38" s="25">
        <v>0</v>
      </c>
      <c r="H38" s="85">
        <v>2</v>
      </c>
      <c r="I38" s="85">
        <v>0</v>
      </c>
      <c r="J38" s="61">
        <v>2</v>
      </c>
      <c r="K38" s="61">
        <v>0</v>
      </c>
      <c r="L38" s="61">
        <v>0</v>
      </c>
      <c r="M38" s="61">
        <v>0</v>
      </c>
      <c r="N38" s="25">
        <v>0</v>
      </c>
      <c r="O38" s="25">
        <v>0</v>
      </c>
      <c r="P38" s="85">
        <v>2</v>
      </c>
      <c r="Q38" s="85">
        <v>0</v>
      </c>
    </row>
    <row r="39" spans="1:17">
      <c r="A39" s="25" t="s">
        <v>553</v>
      </c>
      <c r="B39" s="61">
        <v>0</v>
      </c>
      <c r="C39" s="61">
        <v>0</v>
      </c>
      <c r="D39" s="61">
        <v>0</v>
      </c>
      <c r="E39" s="61">
        <v>0</v>
      </c>
      <c r="F39" s="25">
        <v>0</v>
      </c>
      <c r="G39" s="25">
        <v>0</v>
      </c>
      <c r="H39" s="85">
        <v>0</v>
      </c>
      <c r="I39" s="85">
        <v>0</v>
      </c>
      <c r="J39" s="61">
        <v>1</v>
      </c>
      <c r="K39" s="61">
        <v>2</v>
      </c>
      <c r="L39" s="61">
        <v>0</v>
      </c>
      <c r="M39" s="61">
        <v>1</v>
      </c>
      <c r="N39" s="25">
        <v>0</v>
      </c>
      <c r="O39" s="25">
        <v>33.299999999999997</v>
      </c>
      <c r="P39" s="85">
        <v>1</v>
      </c>
      <c r="Q39" s="85">
        <v>3</v>
      </c>
    </row>
    <row r="40" spans="1:17">
      <c r="A40" s="25" t="s">
        <v>414</v>
      </c>
      <c r="B40" s="61">
        <v>3</v>
      </c>
      <c r="C40" s="61">
        <v>7</v>
      </c>
      <c r="D40" s="61">
        <v>6</v>
      </c>
      <c r="E40" s="61">
        <v>0</v>
      </c>
      <c r="F40" s="25">
        <v>66.7</v>
      </c>
      <c r="G40" s="25">
        <v>0</v>
      </c>
      <c r="H40" s="85">
        <v>9</v>
      </c>
      <c r="I40" s="85">
        <v>7</v>
      </c>
      <c r="J40" s="61">
        <v>31</v>
      </c>
      <c r="K40" s="61">
        <v>54</v>
      </c>
      <c r="L40" s="61">
        <v>60</v>
      </c>
      <c r="M40" s="61">
        <v>54</v>
      </c>
      <c r="N40" s="25">
        <v>65.900000000000006</v>
      </c>
      <c r="O40" s="25">
        <v>50</v>
      </c>
      <c r="P40" s="85">
        <v>91</v>
      </c>
      <c r="Q40" s="85">
        <v>108</v>
      </c>
    </row>
    <row r="41" spans="1:17">
      <c r="A41" s="25" t="s">
        <v>277</v>
      </c>
      <c r="B41" s="61">
        <v>132</v>
      </c>
      <c r="C41" s="61">
        <v>398</v>
      </c>
      <c r="D41" s="61">
        <v>105</v>
      </c>
      <c r="E41" s="61">
        <v>112</v>
      </c>
      <c r="F41" s="25">
        <v>44.3</v>
      </c>
      <c r="G41" s="25">
        <v>22</v>
      </c>
      <c r="H41" s="85">
        <v>237</v>
      </c>
      <c r="I41" s="85">
        <v>510</v>
      </c>
      <c r="J41" s="61">
        <v>1256</v>
      </c>
      <c r="K41" s="61">
        <v>1280</v>
      </c>
      <c r="L41" s="61">
        <v>1233</v>
      </c>
      <c r="M41" s="61">
        <v>373</v>
      </c>
      <c r="N41" s="25">
        <v>49.5</v>
      </c>
      <c r="O41" s="25">
        <v>22.6</v>
      </c>
      <c r="P41" s="85">
        <v>2489</v>
      </c>
      <c r="Q41" s="85">
        <v>1653</v>
      </c>
    </row>
    <row r="42" spans="1:17">
      <c r="A42" s="25" t="s">
        <v>499</v>
      </c>
      <c r="B42" s="61">
        <v>0</v>
      </c>
      <c r="C42" s="61">
        <v>0</v>
      </c>
      <c r="D42" s="61">
        <v>0</v>
      </c>
      <c r="E42" s="61">
        <v>0</v>
      </c>
      <c r="F42" s="25">
        <v>0</v>
      </c>
      <c r="G42" s="25">
        <v>0</v>
      </c>
      <c r="H42" s="85">
        <v>0</v>
      </c>
      <c r="I42" s="85">
        <v>0</v>
      </c>
      <c r="J42" s="61">
        <v>4</v>
      </c>
      <c r="K42" s="61">
        <v>6</v>
      </c>
      <c r="L42" s="61">
        <v>10</v>
      </c>
      <c r="M42" s="61">
        <v>7</v>
      </c>
      <c r="N42" s="25">
        <v>71.400000000000006</v>
      </c>
      <c r="O42" s="25">
        <v>53.8</v>
      </c>
      <c r="P42" s="85">
        <v>14</v>
      </c>
      <c r="Q42" s="85">
        <v>13</v>
      </c>
    </row>
    <row r="43" spans="1:17">
      <c r="A43" s="25" t="s">
        <v>378</v>
      </c>
      <c r="B43" s="61">
        <v>336</v>
      </c>
      <c r="C43" s="61">
        <v>512</v>
      </c>
      <c r="D43" s="61">
        <v>1240</v>
      </c>
      <c r="E43" s="61">
        <v>847</v>
      </c>
      <c r="F43" s="25">
        <v>78.7</v>
      </c>
      <c r="G43" s="25">
        <v>62.3</v>
      </c>
      <c r="H43" s="85">
        <v>1576</v>
      </c>
      <c r="I43" s="85">
        <v>1359</v>
      </c>
      <c r="J43" s="61">
        <v>2872</v>
      </c>
      <c r="K43" s="61">
        <v>3838</v>
      </c>
      <c r="L43" s="61">
        <v>7933</v>
      </c>
      <c r="M43" s="61">
        <v>7842</v>
      </c>
      <c r="N43" s="25">
        <v>73.400000000000006</v>
      </c>
      <c r="O43" s="25">
        <v>67.099999999999994</v>
      </c>
      <c r="P43" s="85">
        <v>10805</v>
      </c>
      <c r="Q43" s="85">
        <v>11680</v>
      </c>
    </row>
    <row r="44" spans="1:17">
      <c r="A44" s="25" t="s">
        <v>278</v>
      </c>
      <c r="B44" s="61">
        <v>3</v>
      </c>
      <c r="C44" s="61">
        <v>7</v>
      </c>
      <c r="D44" s="61">
        <v>7</v>
      </c>
      <c r="E44" s="61">
        <v>8</v>
      </c>
      <c r="F44" s="25">
        <v>70</v>
      </c>
      <c r="G44" s="25">
        <v>53.3</v>
      </c>
      <c r="H44" s="85">
        <v>10</v>
      </c>
      <c r="I44" s="85">
        <v>15</v>
      </c>
      <c r="J44" s="61">
        <v>42</v>
      </c>
      <c r="K44" s="61">
        <v>27</v>
      </c>
      <c r="L44" s="61">
        <v>60</v>
      </c>
      <c r="M44" s="61">
        <v>81</v>
      </c>
      <c r="N44" s="25">
        <v>58.8</v>
      </c>
      <c r="O44" s="25">
        <v>75</v>
      </c>
      <c r="P44" s="85">
        <v>102</v>
      </c>
      <c r="Q44" s="85">
        <v>108</v>
      </c>
    </row>
    <row r="45" spans="1:17">
      <c r="A45" s="25" t="s">
        <v>589</v>
      </c>
      <c r="B45" s="61">
        <v>680</v>
      </c>
      <c r="C45" s="61">
        <v>465</v>
      </c>
      <c r="D45" s="61">
        <v>674</v>
      </c>
      <c r="E45" s="61">
        <v>83</v>
      </c>
      <c r="F45" s="25">
        <v>49.8</v>
      </c>
      <c r="G45" s="25">
        <v>15.1</v>
      </c>
      <c r="H45" s="85">
        <v>1354</v>
      </c>
      <c r="I45" s="85">
        <v>548</v>
      </c>
      <c r="J45" s="61">
        <v>3021</v>
      </c>
      <c r="K45" s="61">
        <v>4735</v>
      </c>
      <c r="L45" s="61">
        <v>2714</v>
      </c>
      <c r="M45" s="61">
        <v>747</v>
      </c>
      <c r="N45" s="25">
        <v>47.3</v>
      </c>
      <c r="O45" s="25">
        <v>13.6</v>
      </c>
      <c r="P45" s="85">
        <v>5735</v>
      </c>
      <c r="Q45" s="85">
        <v>5482</v>
      </c>
    </row>
    <row r="46" spans="1:17">
      <c r="A46" s="25" t="s">
        <v>279</v>
      </c>
      <c r="B46" s="61">
        <v>61</v>
      </c>
      <c r="C46" s="61">
        <v>119</v>
      </c>
      <c r="D46" s="61">
        <v>95</v>
      </c>
      <c r="E46" s="61">
        <v>92</v>
      </c>
      <c r="F46" s="25">
        <v>60.9</v>
      </c>
      <c r="G46" s="25">
        <v>43.6</v>
      </c>
      <c r="H46" s="85">
        <v>156</v>
      </c>
      <c r="I46" s="85">
        <v>211</v>
      </c>
      <c r="J46" s="61">
        <v>573</v>
      </c>
      <c r="K46" s="61">
        <v>1329</v>
      </c>
      <c r="L46" s="61">
        <v>914</v>
      </c>
      <c r="M46" s="61">
        <v>760</v>
      </c>
      <c r="N46" s="25">
        <v>61.5</v>
      </c>
      <c r="O46" s="25">
        <v>36.4</v>
      </c>
      <c r="P46" s="85">
        <v>1487</v>
      </c>
      <c r="Q46" s="85">
        <v>2089</v>
      </c>
    </row>
    <row r="47" spans="1:17">
      <c r="A47" s="25" t="s">
        <v>280</v>
      </c>
      <c r="B47" s="61">
        <v>7</v>
      </c>
      <c r="C47" s="61">
        <v>13</v>
      </c>
      <c r="D47" s="61">
        <v>6</v>
      </c>
      <c r="E47" s="61">
        <v>20</v>
      </c>
      <c r="F47" s="25">
        <v>46.2</v>
      </c>
      <c r="G47" s="25">
        <v>60.6</v>
      </c>
      <c r="H47" s="85">
        <v>13</v>
      </c>
      <c r="I47" s="85">
        <v>33</v>
      </c>
      <c r="J47" s="61">
        <v>75</v>
      </c>
      <c r="K47" s="61">
        <v>107</v>
      </c>
      <c r="L47" s="61">
        <v>468</v>
      </c>
      <c r="M47" s="61">
        <v>325</v>
      </c>
      <c r="N47" s="25">
        <v>86.2</v>
      </c>
      <c r="O47" s="25">
        <v>75.2</v>
      </c>
      <c r="P47" s="85">
        <v>543</v>
      </c>
      <c r="Q47" s="85">
        <v>432</v>
      </c>
    </row>
    <row r="48" spans="1:17">
      <c r="A48" s="25" t="s">
        <v>281</v>
      </c>
      <c r="B48" s="61">
        <v>1</v>
      </c>
      <c r="C48" s="61">
        <v>0</v>
      </c>
      <c r="D48" s="61">
        <v>0</v>
      </c>
      <c r="E48" s="61">
        <v>0</v>
      </c>
      <c r="F48" s="25">
        <v>0</v>
      </c>
      <c r="G48" s="25">
        <v>0</v>
      </c>
      <c r="H48" s="85">
        <v>1</v>
      </c>
      <c r="I48" s="85">
        <v>0</v>
      </c>
      <c r="J48" s="61">
        <v>4</v>
      </c>
      <c r="K48" s="61">
        <v>14</v>
      </c>
      <c r="L48" s="61">
        <v>4</v>
      </c>
      <c r="M48" s="61">
        <v>2</v>
      </c>
      <c r="N48" s="25">
        <v>50</v>
      </c>
      <c r="O48" s="25">
        <v>12.5</v>
      </c>
      <c r="P48" s="85">
        <v>8</v>
      </c>
      <c r="Q48" s="85">
        <v>16</v>
      </c>
    </row>
    <row r="49" spans="1:17">
      <c r="A49" s="25" t="s">
        <v>1064</v>
      </c>
      <c r="B49" s="61">
        <v>0</v>
      </c>
      <c r="C49" s="61">
        <v>0</v>
      </c>
      <c r="D49" s="61">
        <v>11</v>
      </c>
      <c r="E49" s="61">
        <v>0</v>
      </c>
      <c r="F49" s="25">
        <v>100</v>
      </c>
      <c r="G49" s="25">
        <v>0</v>
      </c>
      <c r="H49" s="85">
        <v>11</v>
      </c>
      <c r="I49" s="85">
        <v>0</v>
      </c>
      <c r="J49" s="61">
        <v>2</v>
      </c>
      <c r="K49" s="61">
        <v>0</v>
      </c>
      <c r="L49" s="61">
        <v>141</v>
      </c>
      <c r="M49" s="61">
        <v>0</v>
      </c>
      <c r="N49" s="25">
        <v>98.6</v>
      </c>
      <c r="O49" s="25">
        <v>0</v>
      </c>
      <c r="P49" s="85">
        <v>143</v>
      </c>
      <c r="Q49" s="85">
        <v>0</v>
      </c>
    </row>
    <row r="50" spans="1:17">
      <c r="A50" s="25" t="s">
        <v>282</v>
      </c>
      <c r="B50" s="61">
        <v>285</v>
      </c>
      <c r="C50" s="61">
        <v>338</v>
      </c>
      <c r="D50" s="61">
        <v>277</v>
      </c>
      <c r="E50" s="61">
        <v>216</v>
      </c>
      <c r="F50" s="25">
        <v>49.3</v>
      </c>
      <c r="G50" s="25">
        <v>39</v>
      </c>
      <c r="H50" s="85">
        <v>562</v>
      </c>
      <c r="I50" s="85">
        <v>554</v>
      </c>
      <c r="J50" s="61">
        <v>1761</v>
      </c>
      <c r="K50" s="61">
        <v>3245</v>
      </c>
      <c r="L50" s="61">
        <v>1822</v>
      </c>
      <c r="M50" s="61">
        <v>1112</v>
      </c>
      <c r="N50" s="25">
        <v>50.9</v>
      </c>
      <c r="O50" s="25">
        <v>25.5</v>
      </c>
      <c r="P50" s="85">
        <v>3583</v>
      </c>
      <c r="Q50" s="85">
        <v>4357</v>
      </c>
    </row>
    <row r="51" spans="1:17">
      <c r="A51" s="25" t="s">
        <v>283</v>
      </c>
      <c r="B51" s="61">
        <v>99</v>
      </c>
      <c r="C51" s="61">
        <v>95</v>
      </c>
      <c r="D51" s="61">
        <v>190</v>
      </c>
      <c r="E51" s="61">
        <v>126</v>
      </c>
      <c r="F51" s="25">
        <v>65.7</v>
      </c>
      <c r="G51" s="25">
        <v>57</v>
      </c>
      <c r="H51" s="85">
        <v>289</v>
      </c>
      <c r="I51" s="85">
        <v>221</v>
      </c>
      <c r="J51" s="61">
        <v>572</v>
      </c>
      <c r="K51" s="61">
        <v>1278</v>
      </c>
      <c r="L51" s="61">
        <v>1608</v>
      </c>
      <c r="M51" s="61">
        <v>1106</v>
      </c>
      <c r="N51" s="25">
        <v>73.8</v>
      </c>
      <c r="O51" s="25">
        <v>46.4</v>
      </c>
      <c r="P51" s="85">
        <v>2180</v>
      </c>
      <c r="Q51" s="85">
        <v>2384</v>
      </c>
    </row>
    <row r="52" spans="1:17">
      <c r="A52" s="25" t="s">
        <v>1039</v>
      </c>
      <c r="B52" s="61">
        <v>98</v>
      </c>
      <c r="C52" s="61">
        <v>0</v>
      </c>
      <c r="D52" s="61">
        <v>2</v>
      </c>
      <c r="E52" s="61">
        <v>0</v>
      </c>
      <c r="F52" s="25">
        <v>2</v>
      </c>
      <c r="G52" s="25">
        <v>0</v>
      </c>
      <c r="H52" s="85">
        <v>100</v>
      </c>
      <c r="I52" s="85">
        <v>0</v>
      </c>
      <c r="J52" s="61">
        <v>202</v>
      </c>
      <c r="K52" s="61">
        <v>0</v>
      </c>
      <c r="L52" s="61">
        <v>65</v>
      </c>
      <c r="M52" s="61">
        <v>0</v>
      </c>
      <c r="N52" s="25">
        <v>24.3</v>
      </c>
      <c r="O52" s="25">
        <v>0</v>
      </c>
      <c r="P52" s="85">
        <v>267</v>
      </c>
      <c r="Q52" s="85">
        <v>0</v>
      </c>
    </row>
    <row r="53" spans="1:17">
      <c r="A53" s="25" t="s">
        <v>284</v>
      </c>
      <c r="B53" s="61">
        <v>438</v>
      </c>
      <c r="C53" s="61">
        <v>256</v>
      </c>
      <c r="D53" s="61">
        <v>394</v>
      </c>
      <c r="E53" s="61">
        <v>365</v>
      </c>
      <c r="F53" s="58">
        <v>47.4</v>
      </c>
      <c r="G53" s="58">
        <v>58.8</v>
      </c>
      <c r="H53" s="85">
        <v>832</v>
      </c>
      <c r="I53" s="85">
        <v>621</v>
      </c>
      <c r="J53" s="61">
        <v>2283</v>
      </c>
      <c r="K53" s="61">
        <v>2666</v>
      </c>
      <c r="L53" s="61">
        <v>3926</v>
      </c>
      <c r="M53" s="61">
        <v>3686</v>
      </c>
      <c r="N53" s="58">
        <v>63.2</v>
      </c>
      <c r="O53" s="58">
        <v>58</v>
      </c>
      <c r="P53" s="85">
        <v>6209</v>
      </c>
      <c r="Q53" s="85">
        <v>6352</v>
      </c>
    </row>
    <row r="54" spans="1:17">
      <c r="A54" s="25" t="s">
        <v>322</v>
      </c>
      <c r="B54" s="61">
        <v>22</v>
      </c>
      <c r="C54" s="61">
        <v>65</v>
      </c>
      <c r="D54" s="61">
        <v>282</v>
      </c>
      <c r="E54" s="61">
        <v>209</v>
      </c>
      <c r="F54" s="25">
        <v>92.8</v>
      </c>
      <c r="G54" s="25">
        <v>76.3</v>
      </c>
      <c r="H54" s="85">
        <v>304</v>
      </c>
      <c r="I54" s="85">
        <v>274</v>
      </c>
      <c r="J54" s="61">
        <v>234</v>
      </c>
      <c r="K54" s="61">
        <v>720</v>
      </c>
      <c r="L54" s="61">
        <v>2484</v>
      </c>
      <c r="M54" s="61">
        <v>2097</v>
      </c>
      <c r="N54" s="25">
        <v>91.4</v>
      </c>
      <c r="O54" s="25">
        <v>74.400000000000006</v>
      </c>
      <c r="P54" s="85">
        <v>2718</v>
      </c>
      <c r="Q54" s="85">
        <v>2817</v>
      </c>
    </row>
    <row r="55" spans="1:17">
      <c r="A55" s="25" t="s">
        <v>285</v>
      </c>
      <c r="B55" s="61">
        <v>60</v>
      </c>
      <c r="C55" s="61">
        <v>56</v>
      </c>
      <c r="D55" s="61">
        <v>154</v>
      </c>
      <c r="E55" s="61">
        <v>69</v>
      </c>
      <c r="F55" s="25">
        <v>72</v>
      </c>
      <c r="G55" s="25">
        <v>55.2</v>
      </c>
      <c r="H55" s="85">
        <v>214</v>
      </c>
      <c r="I55" s="85">
        <v>125</v>
      </c>
      <c r="J55" s="61">
        <v>1026</v>
      </c>
      <c r="K55" s="61">
        <v>990</v>
      </c>
      <c r="L55" s="61">
        <v>1315</v>
      </c>
      <c r="M55" s="61">
        <v>980</v>
      </c>
      <c r="N55" s="25">
        <v>56.2</v>
      </c>
      <c r="O55" s="25">
        <v>49.7</v>
      </c>
      <c r="P55" s="85">
        <v>2341</v>
      </c>
      <c r="Q55" s="85">
        <v>1970</v>
      </c>
    </row>
    <row r="56" spans="1:17">
      <c r="A56" s="25" t="s">
        <v>286</v>
      </c>
      <c r="B56" s="61">
        <v>150</v>
      </c>
      <c r="C56" s="61">
        <v>72</v>
      </c>
      <c r="D56" s="61">
        <v>340</v>
      </c>
      <c r="E56" s="61">
        <v>152</v>
      </c>
      <c r="F56" s="58">
        <v>69.400000000000006</v>
      </c>
      <c r="G56" s="58">
        <v>67.900000000000006</v>
      </c>
      <c r="H56" s="85">
        <v>490</v>
      </c>
      <c r="I56" s="85">
        <v>224</v>
      </c>
      <c r="J56" s="61">
        <v>1341</v>
      </c>
      <c r="K56" s="61">
        <v>2137</v>
      </c>
      <c r="L56" s="61">
        <v>2561</v>
      </c>
      <c r="M56" s="61">
        <v>1756</v>
      </c>
      <c r="N56" s="58">
        <v>65.599999999999994</v>
      </c>
      <c r="O56" s="58">
        <v>45.1</v>
      </c>
      <c r="P56" s="85">
        <v>3902</v>
      </c>
      <c r="Q56" s="85">
        <v>3893</v>
      </c>
    </row>
    <row r="57" spans="1:17">
      <c r="A57" s="25" t="s">
        <v>287</v>
      </c>
      <c r="B57" s="61">
        <v>66</v>
      </c>
      <c r="C57" s="61">
        <v>256</v>
      </c>
      <c r="D57" s="61">
        <v>98</v>
      </c>
      <c r="E57" s="61">
        <v>214</v>
      </c>
      <c r="F57" s="25">
        <v>59.8</v>
      </c>
      <c r="G57" s="25">
        <v>45.5</v>
      </c>
      <c r="H57" s="85">
        <v>164</v>
      </c>
      <c r="I57" s="85">
        <v>470</v>
      </c>
      <c r="J57" s="61">
        <v>934</v>
      </c>
      <c r="K57" s="61">
        <v>2334</v>
      </c>
      <c r="L57" s="61">
        <v>975</v>
      </c>
      <c r="M57" s="61">
        <v>1610</v>
      </c>
      <c r="N57" s="25">
        <v>51.1</v>
      </c>
      <c r="O57" s="25">
        <v>40.799999999999997</v>
      </c>
      <c r="P57" s="85">
        <v>1909</v>
      </c>
      <c r="Q57" s="85">
        <v>3944</v>
      </c>
    </row>
    <row r="58" spans="1:17">
      <c r="A58" s="25" t="s">
        <v>288</v>
      </c>
      <c r="B58" s="61">
        <v>342</v>
      </c>
      <c r="C58" s="61">
        <v>382</v>
      </c>
      <c r="D58" s="61">
        <v>963</v>
      </c>
      <c r="E58" s="61">
        <v>730</v>
      </c>
      <c r="F58" s="25">
        <v>73.8</v>
      </c>
      <c r="G58" s="25">
        <v>65.599999999999994</v>
      </c>
      <c r="H58" s="85">
        <v>1305</v>
      </c>
      <c r="I58" s="85">
        <v>1112</v>
      </c>
      <c r="J58" s="61">
        <v>2400</v>
      </c>
      <c r="K58" s="61">
        <v>3521</v>
      </c>
      <c r="L58" s="61">
        <v>7355</v>
      </c>
      <c r="M58" s="61">
        <v>5027</v>
      </c>
      <c r="N58" s="25">
        <v>75.400000000000006</v>
      </c>
      <c r="O58" s="25">
        <v>58.8</v>
      </c>
      <c r="P58" s="85">
        <v>9755</v>
      </c>
      <c r="Q58" s="85">
        <v>8548</v>
      </c>
    </row>
    <row r="59" spans="1:17">
      <c r="A59" s="25" t="s">
        <v>1161</v>
      </c>
      <c r="B59" s="61">
        <v>0</v>
      </c>
      <c r="C59" s="61">
        <v>0</v>
      </c>
      <c r="D59" s="61">
        <v>2</v>
      </c>
      <c r="E59" s="61">
        <v>0</v>
      </c>
      <c r="F59" s="25">
        <v>100</v>
      </c>
      <c r="G59" s="25">
        <v>0</v>
      </c>
      <c r="H59" s="85">
        <v>2</v>
      </c>
      <c r="I59" s="85">
        <v>0</v>
      </c>
      <c r="J59" s="61">
        <v>2</v>
      </c>
      <c r="K59" s="61">
        <v>1</v>
      </c>
      <c r="L59" s="61">
        <v>2</v>
      </c>
      <c r="M59" s="61">
        <v>0</v>
      </c>
      <c r="N59" s="25">
        <v>50</v>
      </c>
      <c r="O59" s="25">
        <v>0</v>
      </c>
      <c r="P59" s="85">
        <v>4</v>
      </c>
      <c r="Q59" s="85">
        <v>1</v>
      </c>
    </row>
    <row r="60" spans="1:17">
      <c r="A60" s="145" t="s">
        <v>289</v>
      </c>
      <c r="B60" s="146">
        <v>171</v>
      </c>
      <c r="C60" s="146">
        <v>104</v>
      </c>
      <c r="D60" s="146">
        <v>118</v>
      </c>
      <c r="E60" s="146">
        <v>58</v>
      </c>
      <c r="F60" s="145">
        <v>40.799999999999997</v>
      </c>
      <c r="G60" s="145">
        <v>35.799999999999997</v>
      </c>
      <c r="H60" s="148">
        <v>289</v>
      </c>
      <c r="I60" s="148">
        <v>162</v>
      </c>
      <c r="J60" s="146">
        <v>1083</v>
      </c>
      <c r="K60" s="146">
        <v>969</v>
      </c>
      <c r="L60" s="146">
        <v>990</v>
      </c>
      <c r="M60" s="146">
        <v>581</v>
      </c>
      <c r="N60" s="145">
        <v>47.8</v>
      </c>
      <c r="O60" s="145">
        <v>37.5</v>
      </c>
      <c r="P60" s="148">
        <v>2073</v>
      </c>
      <c r="Q60" s="148">
        <v>1550</v>
      </c>
    </row>
    <row r="61" spans="1:17">
      <c r="A61" s="145" t="s">
        <v>290</v>
      </c>
      <c r="B61" s="146">
        <v>41</v>
      </c>
      <c r="C61" s="146">
        <v>57</v>
      </c>
      <c r="D61" s="146">
        <v>73</v>
      </c>
      <c r="E61" s="146">
        <v>79</v>
      </c>
      <c r="F61" s="147">
        <v>64</v>
      </c>
      <c r="G61" s="147">
        <v>58.1</v>
      </c>
      <c r="H61" s="148">
        <v>114</v>
      </c>
      <c r="I61" s="148">
        <v>136</v>
      </c>
      <c r="J61" s="146">
        <v>283</v>
      </c>
      <c r="K61" s="146">
        <v>581</v>
      </c>
      <c r="L61" s="146">
        <v>615</v>
      </c>
      <c r="M61" s="146">
        <v>742</v>
      </c>
      <c r="N61" s="147">
        <v>68.5</v>
      </c>
      <c r="O61" s="147">
        <v>56.1</v>
      </c>
      <c r="P61" s="148">
        <v>898</v>
      </c>
      <c r="Q61" s="148">
        <v>1323</v>
      </c>
    </row>
    <row r="62" spans="1:17">
      <c r="A62" s="145" t="s">
        <v>291</v>
      </c>
      <c r="B62" s="146">
        <v>1173</v>
      </c>
      <c r="C62" s="146">
        <v>330</v>
      </c>
      <c r="D62" s="146">
        <v>1991</v>
      </c>
      <c r="E62" s="146">
        <v>585</v>
      </c>
      <c r="F62" s="145">
        <v>62.9</v>
      </c>
      <c r="G62" s="145">
        <v>63.9</v>
      </c>
      <c r="H62" s="148">
        <v>3164</v>
      </c>
      <c r="I62" s="148">
        <v>915</v>
      </c>
      <c r="J62" s="146">
        <v>5522</v>
      </c>
      <c r="K62" s="146">
        <v>3225</v>
      </c>
      <c r="L62" s="146">
        <v>10787</v>
      </c>
      <c r="M62" s="146">
        <v>3722</v>
      </c>
      <c r="N62" s="145">
        <v>66.099999999999994</v>
      </c>
      <c r="O62" s="145">
        <v>53.6</v>
      </c>
      <c r="P62" s="148">
        <v>16309</v>
      </c>
      <c r="Q62" s="148">
        <v>6947</v>
      </c>
    </row>
    <row r="63" spans="1:17">
      <c r="A63" s="145" t="s">
        <v>292</v>
      </c>
      <c r="B63" s="146">
        <v>791</v>
      </c>
      <c r="C63" s="146">
        <v>938</v>
      </c>
      <c r="D63" s="146">
        <v>1100</v>
      </c>
      <c r="E63" s="146">
        <v>1061</v>
      </c>
      <c r="F63" s="145">
        <v>58.2</v>
      </c>
      <c r="G63" s="145">
        <v>53.1</v>
      </c>
      <c r="H63" s="148">
        <v>1891</v>
      </c>
      <c r="I63" s="148">
        <v>1999</v>
      </c>
      <c r="J63" s="146">
        <v>7424</v>
      </c>
      <c r="K63" s="146">
        <v>9052</v>
      </c>
      <c r="L63" s="146">
        <v>9678</v>
      </c>
      <c r="M63" s="146">
        <v>8398</v>
      </c>
      <c r="N63" s="145">
        <v>56.6</v>
      </c>
      <c r="O63" s="145">
        <v>48.1</v>
      </c>
      <c r="P63" s="148">
        <v>17102</v>
      </c>
      <c r="Q63" s="148">
        <v>17450</v>
      </c>
    </row>
    <row r="64" spans="1:17">
      <c r="A64" s="145" t="s">
        <v>293</v>
      </c>
      <c r="B64" s="146">
        <v>836</v>
      </c>
      <c r="C64" s="146">
        <v>979</v>
      </c>
      <c r="D64" s="146">
        <v>2504</v>
      </c>
      <c r="E64" s="146">
        <v>1738</v>
      </c>
      <c r="F64" s="145">
        <v>75</v>
      </c>
      <c r="G64" s="145">
        <v>64</v>
      </c>
      <c r="H64" s="148">
        <v>3340</v>
      </c>
      <c r="I64" s="148">
        <v>2717</v>
      </c>
      <c r="J64" s="146">
        <v>6185</v>
      </c>
      <c r="K64" s="146">
        <v>9022</v>
      </c>
      <c r="L64" s="146">
        <v>17879</v>
      </c>
      <c r="M64" s="146">
        <v>15058</v>
      </c>
      <c r="N64" s="145">
        <v>74.3</v>
      </c>
      <c r="O64" s="145">
        <v>62.5</v>
      </c>
      <c r="P64" s="148">
        <v>24064</v>
      </c>
      <c r="Q64" s="148">
        <v>24080</v>
      </c>
    </row>
    <row r="65" spans="1:17">
      <c r="A65" s="145" t="s">
        <v>294</v>
      </c>
      <c r="B65" s="146">
        <v>440</v>
      </c>
      <c r="C65" s="146">
        <v>792</v>
      </c>
      <c r="D65" s="146">
        <v>2818</v>
      </c>
      <c r="E65" s="146">
        <v>1704</v>
      </c>
      <c r="F65" s="145">
        <v>86.5</v>
      </c>
      <c r="G65" s="145">
        <v>68.3</v>
      </c>
      <c r="H65" s="148">
        <v>3258</v>
      </c>
      <c r="I65" s="148">
        <v>2496</v>
      </c>
      <c r="J65" s="146">
        <v>6510</v>
      </c>
      <c r="K65" s="146">
        <v>8856</v>
      </c>
      <c r="L65" s="146">
        <v>20969</v>
      </c>
      <c r="M65" s="146">
        <v>19325</v>
      </c>
      <c r="N65" s="145">
        <v>76.3</v>
      </c>
      <c r="O65" s="145">
        <v>68.599999999999994</v>
      </c>
      <c r="P65" s="148">
        <v>27479</v>
      </c>
      <c r="Q65" s="148">
        <v>28181</v>
      </c>
    </row>
    <row r="66" spans="1:17">
      <c r="A66" s="145" t="s">
        <v>1162</v>
      </c>
      <c r="B66" s="146">
        <v>2</v>
      </c>
      <c r="C66" s="146">
        <v>0</v>
      </c>
      <c r="D66" s="146">
        <v>50</v>
      </c>
      <c r="E66" s="146">
        <v>0</v>
      </c>
      <c r="F66" s="145">
        <v>96.2</v>
      </c>
      <c r="G66" s="145">
        <v>0</v>
      </c>
      <c r="H66" s="148">
        <v>52</v>
      </c>
      <c r="I66" s="148">
        <v>0</v>
      </c>
      <c r="J66" s="146">
        <v>9</v>
      </c>
      <c r="K66" s="146">
        <v>0</v>
      </c>
      <c r="L66" s="146">
        <v>70</v>
      </c>
      <c r="M66" s="146">
        <v>10</v>
      </c>
      <c r="N66" s="145">
        <v>88.6</v>
      </c>
      <c r="O66" s="145">
        <v>100</v>
      </c>
      <c r="P66" s="148">
        <v>79</v>
      </c>
      <c r="Q66" s="148">
        <v>10</v>
      </c>
    </row>
    <row r="67" spans="1:17">
      <c r="A67" s="145" t="s">
        <v>295</v>
      </c>
      <c r="B67" s="146">
        <v>9</v>
      </c>
      <c r="C67" s="146">
        <v>20</v>
      </c>
      <c r="D67" s="146">
        <v>32</v>
      </c>
      <c r="E67" s="146">
        <v>5</v>
      </c>
      <c r="F67" s="145">
        <v>78</v>
      </c>
      <c r="G67" s="145">
        <v>20</v>
      </c>
      <c r="H67" s="148">
        <v>41</v>
      </c>
      <c r="I67" s="148">
        <v>25</v>
      </c>
      <c r="J67" s="146">
        <v>64</v>
      </c>
      <c r="K67" s="146">
        <v>139</v>
      </c>
      <c r="L67" s="146">
        <v>151</v>
      </c>
      <c r="M67" s="146">
        <v>60</v>
      </c>
      <c r="N67" s="145">
        <v>70.2</v>
      </c>
      <c r="O67" s="145">
        <v>30.2</v>
      </c>
      <c r="P67" s="148">
        <v>215</v>
      </c>
      <c r="Q67" s="148">
        <v>199</v>
      </c>
    </row>
    <row r="68" spans="1:17">
      <c r="A68" s="145" t="s">
        <v>454</v>
      </c>
      <c r="B68" s="146">
        <f>SUBTOTAL(109,getAggFysJur[antalFysiska])</f>
        <v>9656</v>
      </c>
      <c r="C68" s="146">
        <f>SUBTOTAL(109,getAggFysJur[antalFysiskaFG])</f>
        <v>9641</v>
      </c>
      <c r="D68" s="146">
        <f>SUBTOTAL(109,getAggFysJur[antalJuridiska])</f>
        <v>18479</v>
      </c>
      <c r="E68" s="146">
        <f>SUBTOTAL(109,getAggFysJur[antalJuridiskaFG])</f>
        <v>12407</v>
      </c>
      <c r="F68" s="147">
        <f>IF(getAggFysJur[[#Totals],[totalPerioden]] &gt; 0,( getAggFysJur[[#Totals],[antalJuridiska]]  ) / getAggFysJur[[#Totals],[totalPerioden]] * 100,0)</f>
        <v>65.679758308157105</v>
      </c>
      <c r="G68" s="147">
        <f>IF(getAggFysJur[[#Totals],[totalPeriodenFG]] &gt; 0,( getAggFysJur[[#Totals],[antalJuridiskaFG]] ) / getAggFysJur[[#Totals],[totalPeriodenFG]] * 100,0)</f>
        <v>56.272677793904215</v>
      </c>
      <c r="H68" s="148">
        <f>SUBTOTAL(109,getAggFysJur[totalPerioden])</f>
        <v>28135</v>
      </c>
      <c r="I68" s="148">
        <f>SUBTOTAL(109,getAggFysJur[totalPeriodenFG])</f>
        <v>22048</v>
      </c>
      <c r="J68" s="146">
        <f>SUBTOTAL(109,getAggFysJur[antalFysiskaAret])</f>
        <v>70422</v>
      </c>
      <c r="K68" s="146">
        <f>SUBTOTAL(109,getAggFysJur[antalFysiskaAretFG])</f>
        <v>95643</v>
      </c>
      <c r="L68" s="146">
        <f>SUBTOTAL(109,getAggFysJur[antalJuridiskaAret])</f>
        <v>139547</v>
      </c>
      <c r="M68" s="146">
        <f>SUBTOTAL(109,getAggFysJur[antalJuridiskaAretFG])</f>
        <v>108997</v>
      </c>
      <c r="N68" s="147">
        <f>IF(getAggFysJur[[#Totals],[totalAret]] &gt; 0,( getAggFysJur[[#Totals],[antalJuridiskaAret]] ) / getAggFysJur[[#Totals],[totalAret]] * 100,0)</f>
        <v>66.460763255528192</v>
      </c>
      <c r="O68" s="147">
        <f>IF(getAggFysJur[[#Totals],[totalAretFG]] &gt; 0,( getAggFysJur[[#Totals],[antalJuridiskaAretFG]] ) / getAggFysJur[[#Totals],[totalAretFG]] * 100,0)</f>
        <v>53.262802971071153</v>
      </c>
      <c r="P68" s="148">
        <f>SUBTOTAL(109,getAggFysJur[totalAret])</f>
        <v>209969</v>
      </c>
      <c r="Q68" s="148">
        <f>SUBTOTAL(109,getAggFysJur[totalAretFG])</f>
        <v>204640</v>
      </c>
    </row>
    <row r="69" spans="1:17">
      <c r="A69" s="25"/>
      <c r="B69" s="25"/>
      <c r="C69" s="25"/>
      <c r="D69" s="25"/>
      <c r="E69" s="25"/>
      <c r="F69" s="25"/>
      <c r="G69" s="25"/>
      <c r="H69" s="38"/>
      <c r="I69" s="38"/>
      <c r="J69" s="25"/>
      <c r="K69" s="25"/>
      <c r="L69" s="25"/>
      <c r="M69" s="25"/>
      <c r="N69" s="25"/>
      <c r="O69" s="25"/>
      <c r="P69" s="38"/>
      <c r="Q69" s="38"/>
    </row>
    <row r="70" spans="1:17">
      <c r="A70" s="25"/>
      <c r="B70" s="25"/>
      <c r="C70" s="25"/>
      <c r="D70" s="25"/>
      <c r="E70" s="25"/>
      <c r="F70" s="25"/>
      <c r="G70" s="25"/>
      <c r="H70" s="38"/>
      <c r="I70" s="38"/>
      <c r="J70" s="25"/>
      <c r="K70" s="25"/>
      <c r="L70" s="25"/>
      <c r="M70" s="25"/>
      <c r="N70" s="25"/>
      <c r="O70" s="25"/>
      <c r="P70" s="38"/>
      <c r="Q70" s="38"/>
    </row>
    <row r="71" spans="1:17">
      <c r="A71" s="25"/>
      <c r="B71" s="25"/>
      <c r="C71" s="25"/>
      <c r="D71" s="25"/>
      <c r="E71" s="25"/>
      <c r="F71" s="25"/>
      <c r="G71" s="25"/>
      <c r="H71" s="38"/>
      <c r="I71" s="38"/>
      <c r="J71" s="25"/>
      <c r="K71" s="25"/>
      <c r="L71" s="25"/>
      <c r="M71" s="25"/>
      <c r="N71" s="25"/>
      <c r="O71" s="25"/>
      <c r="P71" s="38"/>
      <c r="Q71" s="38"/>
    </row>
    <row r="72" spans="1:17">
      <c r="A72" s="25"/>
      <c r="B72" s="25"/>
      <c r="C72" s="25"/>
      <c r="D72" s="25"/>
      <c r="E72" s="25"/>
      <c r="F72" s="25"/>
      <c r="G72" s="25"/>
      <c r="H72" s="38"/>
      <c r="I72" s="38"/>
      <c r="J72" s="25"/>
      <c r="K72" s="25"/>
      <c r="L72" s="25"/>
      <c r="M72" s="25"/>
      <c r="N72" s="25"/>
      <c r="O72" s="25"/>
      <c r="P72" s="38"/>
      <c r="Q72" s="38"/>
    </row>
    <row r="73" spans="1:17">
      <c r="A73" s="25"/>
      <c r="B73" s="25"/>
      <c r="C73" s="25"/>
      <c r="D73" s="25"/>
      <c r="E73" s="25"/>
      <c r="F73" s="25"/>
      <c r="G73" s="25"/>
      <c r="H73" s="38"/>
      <c r="I73" s="38"/>
      <c r="J73" s="25"/>
      <c r="K73" s="25"/>
      <c r="L73" s="25"/>
      <c r="M73" s="25"/>
      <c r="N73" s="25"/>
      <c r="O73" s="25"/>
      <c r="P73" s="38"/>
      <c r="Q73" s="38"/>
    </row>
    <row r="74" spans="1:17">
      <c r="A74" s="25"/>
      <c r="B74" s="25"/>
      <c r="C74" s="25"/>
      <c r="D74" s="25"/>
      <c r="E74" s="25"/>
      <c r="F74" s="25"/>
      <c r="G74" s="25"/>
      <c r="H74" s="38"/>
      <c r="I74" s="38"/>
      <c r="J74" s="25"/>
      <c r="K74" s="25"/>
      <c r="L74" s="25"/>
      <c r="M74" s="25"/>
      <c r="N74" s="25"/>
      <c r="O74" s="25"/>
      <c r="P74" s="38"/>
      <c r="Q74" s="38"/>
    </row>
    <row r="75" spans="1:17">
      <c r="A75" s="25"/>
      <c r="B75" s="25"/>
      <c r="C75" s="25"/>
      <c r="D75" s="25"/>
      <c r="E75" s="25"/>
      <c r="F75" s="25"/>
      <c r="G75" s="25"/>
      <c r="H75" s="38"/>
      <c r="I75" s="38"/>
      <c r="J75" s="25"/>
      <c r="K75" s="25"/>
      <c r="L75" s="25"/>
      <c r="M75" s="25"/>
      <c r="N75" s="25"/>
      <c r="O75" s="25"/>
      <c r="P75" s="38"/>
      <c r="Q75" s="38"/>
    </row>
    <row r="76" spans="1:17">
      <c r="A76" s="25"/>
      <c r="B76" s="25"/>
      <c r="C76" s="25"/>
      <c r="D76" s="25"/>
      <c r="E76" s="25"/>
      <c r="F76" s="25"/>
      <c r="G76" s="25"/>
      <c r="H76" s="38"/>
      <c r="I76" s="38"/>
      <c r="J76" s="25"/>
      <c r="K76" s="25"/>
      <c r="L76" s="25"/>
      <c r="M76" s="25"/>
      <c r="N76" s="25"/>
      <c r="O76" s="25"/>
      <c r="P76" s="38"/>
      <c r="Q76" s="38"/>
    </row>
    <row r="84" spans="1:1">
      <c r="A84" t="s">
        <v>678</v>
      </c>
    </row>
  </sheetData>
  <mergeCells count="10">
    <mergeCell ref="N6:O6"/>
    <mergeCell ref="P6:Q6"/>
    <mergeCell ref="B5:I5"/>
    <mergeCell ref="J5:Q5"/>
    <mergeCell ref="B6:C6"/>
    <mergeCell ref="D6:E6"/>
    <mergeCell ref="F6:G6"/>
    <mergeCell ref="H6:I6"/>
    <mergeCell ref="J6:K6"/>
    <mergeCell ref="L6:M6"/>
  </mergeCells>
  <pageMargins left="0.70866141732283472" right="0.70866141732283472" top="0.74803149606299213" bottom="0.74803149606299213" header="0.31496062992125984" footer="0.31496062992125984"/>
  <pageSetup paperSize="9" scale="68"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7"/>
  <dimension ref="A1:I15"/>
  <sheetViews>
    <sheetView workbookViewId="0">
      <selection activeCell="I21" sqref="I21"/>
    </sheetView>
  </sheetViews>
  <sheetFormatPr baseColWidth="10" defaultColWidth="8.83203125" defaultRowHeight="15"/>
  <cols>
    <col min="1" max="1" width="21.33203125" customWidth="1"/>
    <col min="2" max="5" width="15.6640625" style="4" customWidth="1"/>
    <col min="6" max="7" width="15.6640625" customWidth="1"/>
    <col min="8" max="9" width="13.1640625" style="8" customWidth="1"/>
  </cols>
  <sheetData>
    <row r="1" spans="1:9">
      <c r="B1"/>
      <c r="C1"/>
      <c r="D1"/>
      <c r="E1"/>
      <c r="H1"/>
      <c r="I1"/>
    </row>
    <row r="2" spans="1:9" ht="19.25" customHeight="1" thickBot="1">
      <c r="C2" s="56" t="s">
        <v>464</v>
      </c>
      <c r="D2" s="56"/>
      <c r="E2" s="56"/>
      <c r="F2" s="56"/>
      <c r="H2"/>
      <c r="I2"/>
    </row>
    <row r="4" spans="1:9">
      <c r="A4" s="25"/>
      <c r="B4" s="61"/>
      <c r="C4" s="61"/>
      <c r="D4" s="61"/>
      <c r="E4" s="228" t="s">
        <v>452</v>
      </c>
      <c r="F4" s="228"/>
      <c r="G4" s="228"/>
      <c r="H4" s="25"/>
    </row>
    <row r="5" spans="1:9">
      <c r="A5" s="103"/>
      <c r="B5" s="248" t="s">
        <v>535</v>
      </c>
      <c r="C5" s="249"/>
      <c r="D5" s="248" t="s">
        <v>535</v>
      </c>
      <c r="E5" s="249"/>
      <c r="F5" s="272" t="s">
        <v>536</v>
      </c>
      <c r="G5" s="273"/>
      <c r="H5" s="58"/>
    </row>
    <row r="6" spans="1:9">
      <c r="A6" s="103" t="s">
        <v>465</v>
      </c>
      <c r="B6" s="104" t="str">
        <f>Innehåll!D79</f>
        <v xml:space="preserve"> 2023-09</v>
      </c>
      <c r="C6" s="104" t="str">
        <f>Innehåll!D80</f>
        <v xml:space="preserve"> 2022-09</v>
      </c>
      <c r="D6" s="104" t="str">
        <f>Innehåll!D81</f>
        <v>YTD  2023</v>
      </c>
      <c r="E6" s="104" t="str">
        <f>Innehåll!D82</f>
        <v>YTD  2022</v>
      </c>
      <c r="F6" s="130" t="str">
        <f>B6</f>
        <v xml:space="preserve"> 2023-09</v>
      </c>
      <c r="G6" s="118" t="str">
        <f>D6</f>
        <v>YTD  2023</v>
      </c>
      <c r="H6" s="58"/>
    </row>
    <row r="7" spans="1:9" hidden="1">
      <c r="A7" s="153" t="s">
        <v>328</v>
      </c>
      <c r="B7" s="146" t="s">
        <v>307</v>
      </c>
      <c r="C7" s="146" t="s">
        <v>327</v>
      </c>
      <c r="D7" s="146" t="s">
        <v>325</v>
      </c>
      <c r="E7" s="146" t="s">
        <v>326</v>
      </c>
      <c r="F7" s="145" t="s">
        <v>383</v>
      </c>
      <c r="G7" s="145" t="s">
        <v>384</v>
      </c>
      <c r="H7" s="25"/>
      <c r="I7"/>
    </row>
    <row r="8" spans="1:9">
      <c r="A8" s="154" t="s">
        <v>1203</v>
      </c>
      <c r="B8" s="146">
        <v>4477</v>
      </c>
      <c r="C8" s="146">
        <v>3276</v>
      </c>
      <c r="D8" s="146">
        <v>30757</v>
      </c>
      <c r="E8" s="146">
        <v>24525</v>
      </c>
      <c r="F8" s="155">
        <v>36.660561660561655</v>
      </c>
      <c r="G8" s="155">
        <v>25.410805300713555</v>
      </c>
      <c r="H8" s="25"/>
      <c r="I8"/>
    </row>
    <row r="9" spans="1:9">
      <c r="A9" s="156" t="s">
        <v>329</v>
      </c>
      <c r="B9" s="157">
        <v>17</v>
      </c>
      <c r="C9" s="157">
        <v>12</v>
      </c>
      <c r="D9" s="157">
        <v>184</v>
      </c>
      <c r="E9" s="157">
        <v>147</v>
      </c>
      <c r="F9" s="158">
        <v>41.666666666666671</v>
      </c>
      <c r="G9" s="158">
        <v>25.170068027210885</v>
      </c>
      <c r="H9" s="25"/>
      <c r="I9"/>
    </row>
    <row r="10" spans="1:9">
      <c r="A10" s="154" t="s">
        <v>330</v>
      </c>
      <c r="B10" s="146">
        <v>7</v>
      </c>
      <c r="C10" s="152">
        <v>45</v>
      </c>
      <c r="D10" s="152">
        <v>244</v>
      </c>
      <c r="E10" s="152">
        <v>236</v>
      </c>
      <c r="F10" s="155">
        <v>-84.444444444444443</v>
      </c>
      <c r="G10" s="155">
        <v>3.3898305084745761</v>
      </c>
      <c r="H10" s="25"/>
      <c r="I10"/>
    </row>
    <row r="11" spans="1:9">
      <c r="A11" s="154" t="s">
        <v>1204</v>
      </c>
      <c r="B11" s="146">
        <v>215</v>
      </c>
      <c r="C11" s="146">
        <v>543</v>
      </c>
      <c r="D11" s="146">
        <v>5385</v>
      </c>
      <c r="E11" s="146">
        <v>3791</v>
      </c>
      <c r="F11" s="155">
        <v>-60.405156537753221</v>
      </c>
      <c r="G11" s="155">
        <v>42.046953310472169</v>
      </c>
      <c r="H11" s="25"/>
      <c r="I11"/>
    </row>
    <row r="12" spans="1:9">
      <c r="A12" s="159" t="s">
        <v>454</v>
      </c>
      <c r="B12" s="160">
        <v>4716</v>
      </c>
      <c r="C12" s="161">
        <v>3876</v>
      </c>
      <c r="D12" s="161">
        <v>36570</v>
      </c>
      <c r="E12" s="161">
        <v>28699</v>
      </c>
      <c r="F12" s="162">
        <v>21.671826625386998</v>
      </c>
      <c r="G12" s="163">
        <v>27.426042719258508</v>
      </c>
      <c r="H12" s="25"/>
      <c r="I12"/>
    </row>
    <row r="13" spans="1:9">
      <c r="A13" s="25"/>
      <c r="B13" s="61"/>
      <c r="C13" s="61"/>
      <c r="D13" s="61"/>
      <c r="E13" s="61"/>
      <c r="F13" s="25"/>
      <c r="G13" s="25"/>
      <c r="H13" s="58"/>
    </row>
    <row r="14" spans="1:9">
      <c r="A14" s="25"/>
      <c r="B14" s="61"/>
      <c r="C14" s="61"/>
      <c r="D14" s="61"/>
      <c r="E14" s="61"/>
      <c r="F14" s="25"/>
      <c r="G14" s="25"/>
      <c r="H14" s="58"/>
    </row>
    <row r="15" spans="1:9">
      <c r="A15" s="25" t="s">
        <v>678</v>
      </c>
      <c r="B15" s="61"/>
      <c r="C15" s="61"/>
      <c r="D15" s="61"/>
      <c r="E15" s="61"/>
      <c r="F15" s="25"/>
      <c r="G15" s="25"/>
      <c r="H15" s="58"/>
    </row>
  </sheetData>
  <mergeCells count="4">
    <mergeCell ref="B5:C5"/>
    <mergeCell ref="D5:E5"/>
    <mergeCell ref="F5:G5"/>
    <mergeCell ref="E4:G4"/>
  </mergeCells>
  <conditionalFormatting sqref="G5">
    <cfRule type="cellIs" dxfId="3" priority="1" operator="lessThan">
      <formula>-20</formula>
    </cfRule>
    <cfRule type="cellIs" dxfId="2" priority="2" operator="greaterThan">
      <formula>20</formula>
    </cfRule>
  </conditionalFormatting>
  <dataValidations count="2">
    <dataValidation allowBlank="1" showInputMessage="1" showErrorMessage="1" prompt="visar antalet registreringar för den aktuella månaden i år." sqref="B6:E6" xr:uid="{00000000-0002-0000-0C00-000000000000}"/>
    <dataValidation allowBlank="1" showInputMessage="1" showErrorMessage="1" prompt="förändring i antalet registreringar ackumulerat från årets början t.o.m den aktuella månaden." sqref="G6" xr:uid="{00000000-0002-0000-0C00-000001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2:W84"/>
  <sheetViews>
    <sheetView workbookViewId="0">
      <selection activeCell="V20" sqref="V20"/>
    </sheetView>
  </sheetViews>
  <sheetFormatPr baseColWidth="10" defaultColWidth="8.83203125" defaultRowHeight="15"/>
  <sheetData>
    <row r="2" spans="2:21" ht="18" thickBot="1">
      <c r="B2" s="2" t="s">
        <v>1</v>
      </c>
      <c r="C2" s="2"/>
      <c r="D2" s="2"/>
    </row>
    <row r="3" spans="2:21" ht="19.25" customHeight="1" thickTop="1" thickBot="1">
      <c r="P3" s="25"/>
      <c r="Q3" s="66" t="s">
        <v>15</v>
      </c>
      <c r="R3" s="66"/>
      <c r="S3" s="66"/>
      <c r="T3" s="66"/>
      <c r="U3" s="113"/>
    </row>
    <row r="4" spans="2:21">
      <c r="P4" s="25"/>
      <c r="Q4" s="25"/>
      <c r="R4" s="25"/>
      <c r="S4" s="25"/>
      <c r="T4" s="25"/>
      <c r="U4" s="25"/>
    </row>
    <row r="5" spans="2:21" ht="16" thickBot="1">
      <c r="P5" s="25"/>
      <c r="Q5" s="19" t="s">
        <v>455</v>
      </c>
      <c r="R5" s="24">
        <v>2021</v>
      </c>
      <c r="S5" s="24">
        <v>2022</v>
      </c>
      <c r="T5" s="24">
        <v>2023</v>
      </c>
      <c r="U5" s="25"/>
    </row>
    <row r="6" spans="2:21">
      <c r="P6" s="25"/>
      <c r="Q6" s="16" t="s">
        <v>2</v>
      </c>
      <c r="R6" s="25">
        <v>2149</v>
      </c>
      <c r="S6" s="25">
        <v>2074</v>
      </c>
      <c r="T6" s="25">
        <v>2356</v>
      </c>
      <c r="U6" s="25"/>
    </row>
    <row r="7" spans="2:21">
      <c r="P7" s="25"/>
      <c r="Q7" s="16" t="s">
        <v>3</v>
      </c>
      <c r="R7" s="25">
        <v>2814</v>
      </c>
      <c r="S7" s="25">
        <v>2592</v>
      </c>
      <c r="T7" s="25">
        <v>2983</v>
      </c>
      <c r="U7" s="25"/>
    </row>
    <row r="8" spans="2:21">
      <c r="P8" s="25"/>
      <c r="Q8" s="16" t="s">
        <v>4</v>
      </c>
      <c r="R8" s="25">
        <v>8680</v>
      </c>
      <c r="S8" s="25">
        <v>3443</v>
      </c>
      <c r="T8" s="25">
        <v>3654</v>
      </c>
      <c r="U8" s="25"/>
    </row>
    <row r="9" spans="2:21">
      <c r="P9" s="25"/>
      <c r="Q9" s="16" t="s">
        <v>5</v>
      </c>
      <c r="R9" s="25">
        <v>1906</v>
      </c>
      <c r="S9" s="25">
        <v>2954</v>
      </c>
      <c r="T9" s="25">
        <v>3203</v>
      </c>
      <c r="U9" s="25"/>
    </row>
    <row r="10" spans="2:21">
      <c r="P10" s="25"/>
      <c r="Q10" s="16" t="s">
        <v>6</v>
      </c>
      <c r="R10" s="25">
        <v>2788</v>
      </c>
      <c r="S10" s="25">
        <v>2983</v>
      </c>
      <c r="T10" s="25">
        <v>3919</v>
      </c>
      <c r="U10" s="25"/>
    </row>
    <row r="11" spans="2:21">
      <c r="P11" s="25"/>
      <c r="Q11" s="16" t="s">
        <v>7</v>
      </c>
      <c r="R11" s="25">
        <v>3139</v>
      </c>
      <c r="S11" s="25">
        <v>2605</v>
      </c>
      <c r="T11" s="25">
        <v>4111</v>
      </c>
      <c r="U11" s="25"/>
    </row>
    <row r="12" spans="2:21">
      <c r="P12" s="25"/>
      <c r="Q12" s="16" t="s">
        <v>8</v>
      </c>
      <c r="R12" s="25">
        <v>1548</v>
      </c>
      <c r="S12" s="25">
        <v>1533</v>
      </c>
      <c r="T12" s="25">
        <v>2010</v>
      </c>
      <c r="U12" s="25"/>
    </row>
    <row r="13" spans="2:21">
      <c r="P13" s="25"/>
      <c r="Q13" s="16" t="s">
        <v>9</v>
      </c>
      <c r="R13" s="25">
        <v>2631</v>
      </c>
      <c r="S13" s="25">
        <v>3065</v>
      </c>
      <c r="T13" s="25">
        <v>4044</v>
      </c>
      <c r="U13" s="25"/>
    </row>
    <row r="14" spans="2:21">
      <c r="P14" s="25"/>
      <c r="Q14" s="16" t="s">
        <v>10</v>
      </c>
      <c r="R14" s="25">
        <v>2973</v>
      </c>
      <c r="S14" s="25">
        <v>3276</v>
      </c>
      <c r="T14" s="25">
        <v>4477</v>
      </c>
      <c r="U14" s="25"/>
    </row>
    <row r="15" spans="2:21">
      <c r="P15" s="25"/>
      <c r="Q15" s="16" t="s">
        <v>11</v>
      </c>
      <c r="R15" s="25">
        <v>2401</v>
      </c>
      <c r="S15" s="25">
        <v>2572</v>
      </c>
      <c r="T15" s="25"/>
      <c r="U15" s="25"/>
    </row>
    <row r="16" spans="2:21">
      <c r="P16" s="25"/>
      <c r="Q16" s="16" t="s">
        <v>12</v>
      </c>
      <c r="R16" s="25">
        <v>2420</v>
      </c>
      <c r="S16" s="25">
        <v>3367</v>
      </c>
      <c r="T16" s="25"/>
      <c r="U16" s="25"/>
    </row>
    <row r="17" spans="16:21">
      <c r="P17" s="25"/>
      <c r="Q17" s="26" t="s">
        <v>13</v>
      </c>
      <c r="R17" s="27">
        <v>2787</v>
      </c>
      <c r="S17" s="27">
        <v>4052</v>
      </c>
      <c r="T17" s="27"/>
      <c r="U17" s="25"/>
    </row>
    <row r="18" spans="16:21">
      <c r="P18" s="25"/>
      <c r="Q18" s="38" t="s">
        <v>534</v>
      </c>
      <c r="R18" s="25">
        <f>SUMIF(T6:T17,"&gt;0",R6:R17)</f>
        <v>28628</v>
      </c>
      <c r="S18" s="25">
        <f>SUMIF(T6:T17,"&gt;0",S6:S17)</f>
        <v>24525</v>
      </c>
      <c r="T18" s="61">
        <f>SUM(T6:T17)</f>
        <v>30757</v>
      </c>
      <c r="U18" s="25"/>
    </row>
    <row r="19" spans="16:21">
      <c r="P19" s="25"/>
      <c r="Q19" s="87" t="s">
        <v>533</v>
      </c>
      <c r="R19" s="61">
        <f>SUM(R6:R17)</f>
        <v>36236</v>
      </c>
      <c r="S19" s="61">
        <f>SUM(S6:S17)</f>
        <v>34516</v>
      </c>
      <c r="T19" s="61"/>
      <c r="U19" s="25"/>
    </row>
    <row r="20" spans="16:21">
      <c r="P20" s="40"/>
      <c r="Q20" s="25"/>
      <c r="R20" s="25"/>
      <c r="S20" s="25"/>
      <c r="T20" s="25"/>
      <c r="U20" s="25"/>
    </row>
    <row r="21" spans="16:21">
      <c r="P21" s="25"/>
      <c r="Q21" s="25"/>
      <c r="R21" s="25"/>
      <c r="S21" s="25"/>
      <c r="T21" s="25"/>
      <c r="U21" s="25"/>
    </row>
    <row r="22" spans="16:21">
      <c r="P22" s="25"/>
      <c r="Q22" s="25"/>
      <c r="R22" s="25"/>
      <c r="S22" s="25"/>
      <c r="T22" s="25"/>
      <c r="U22" s="25"/>
    </row>
    <row r="23" spans="16:21">
      <c r="P23" s="25"/>
      <c r="Q23" s="63" t="s">
        <v>452</v>
      </c>
      <c r="R23" s="25"/>
      <c r="S23" s="25"/>
      <c r="T23" s="25"/>
      <c r="U23" s="25"/>
    </row>
    <row r="24" spans="16:21">
      <c r="P24" s="25"/>
      <c r="Q24" s="25"/>
      <c r="R24" s="25"/>
      <c r="S24" s="25"/>
      <c r="T24" s="25"/>
      <c r="U24" s="25"/>
    </row>
    <row r="34" spans="17:23">
      <c r="Q34" s="25"/>
      <c r="R34" s="25"/>
      <c r="S34" s="25"/>
      <c r="T34" s="25"/>
      <c r="U34" s="25"/>
      <c r="V34" s="25"/>
      <c r="W34" s="25"/>
    </row>
    <row r="35" spans="17:23" ht="19.25" customHeight="1" thickBot="1">
      <c r="Q35" s="66" t="s">
        <v>297</v>
      </c>
      <c r="R35" s="66"/>
      <c r="S35" s="66"/>
      <c r="T35" s="66"/>
      <c r="U35" s="66"/>
      <c r="V35" s="66"/>
      <c r="W35" s="113"/>
    </row>
    <row r="36" spans="17:23">
      <c r="Q36" s="25"/>
      <c r="R36" s="25"/>
      <c r="S36" s="25"/>
      <c r="T36" s="25"/>
      <c r="U36" s="25"/>
      <c r="V36" s="25"/>
      <c r="W36" s="25"/>
    </row>
    <row r="37" spans="17:23">
      <c r="Q37" s="88" t="s">
        <v>438</v>
      </c>
      <c r="R37" s="58">
        <v>-3.4899953466728708</v>
      </c>
      <c r="S37" s="25"/>
      <c r="T37" s="25"/>
      <c r="U37" s="25"/>
      <c r="V37" s="25"/>
      <c r="W37" s="25"/>
    </row>
    <row r="38" spans="17:23">
      <c r="Q38" s="88" t="s">
        <v>501</v>
      </c>
      <c r="R38" s="58">
        <v>46.333853354134163</v>
      </c>
      <c r="S38" s="25"/>
      <c r="T38" s="25"/>
      <c r="U38" s="25"/>
      <c r="V38" s="25"/>
      <c r="W38" s="25"/>
    </row>
    <row r="39" spans="17:23">
      <c r="Q39" s="88" t="s">
        <v>561</v>
      </c>
      <c r="R39" s="58">
        <v>239.72602739726025</v>
      </c>
      <c r="S39" s="25"/>
      <c r="T39" s="25"/>
      <c r="U39" s="25"/>
      <c r="V39" s="25"/>
      <c r="W39" s="25"/>
    </row>
    <row r="40" spans="17:23">
      <c r="Q40" s="88" t="s">
        <v>576</v>
      </c>
      <c r="R40" s="58">
        <v>-23.29979879275654</v>
      </c>
      <c r="S40" s="25"/>
      <c r="T40" s="25"/>
      <c r="U40" s="25"/>
      <c r="V40" s="25"/>
      <c r="W40" s="25"/>
    </row>
    <row r="41" spans="17:23">
      <c r="Q41" s="88" t="s">
        <v>590</v>
      </c>
      <c r="R41" s="58">
        <v>32.572515454113173</v>
      </c>
      <c r="S41" s="25"/>
      <c r="T41" s="25"/>
      <c r="U41" s="25"/>
      <c r="V41" s="25"/>
      <c r="W41" s="25"/>
    </row>
    <row r="42" spans="17:23">
      <c r="Q42" s="88" t="s">
        <v>597</v>
      </c>
      <c r="R42" s="58">
        <v>40.133928571428577</v>
      </c>
      <c r="S42" s="25"/>
      <c r="T42" s="25"/>
      <c r="U42" s="25"/>
      <c r="V42" s="25"/>
      <c r="W42" s="25"/>
    </row>
    <row r="43" spans="17:23">
      <c r="Q43" s="88" t="s">
        <v>602</v>
      </c>
      <c r="R43" s="58">
        <v>-5.3789731051344738</v>
      </c>
      <c r="S43" s="25"/>
      <c r="T43" s="25"/>
      <c r="U43" s="25"/>
      <c r="V43" s="25"/>
      <c r="W43" s="25"/>
    </row>
    <row r="44" spans="17:23">
      <c r="Q44" s="88" t="s">
        <v>604</v>
      </c>
      <c r="R44" s="58">
        <v>-8.6775425199583474</v>
      </c>
      <c r="S44" s="25"/>
      <c r="T44" s="25"/>
      <c r="U44" s="25"/>
      <c r="V44" s="25"/>
      <c r="W44" s="25"/>
    </row>
    <row r="45" spans="17:23">
      <c r="Q45" s="88" t="s">
        <v>612</v>
      </c>
      <c r="R45" s="58">
        <v>-17.324805339265851</v>
      </c>
      <c r="S45" s="25"/>
      <c r="T45" s="25"/>
      <c r="U45" s="25"/>
      <c r="V45" s="25"/>
      <c r="W45" s="25"/>
    </row>
    <row r="46" spans="17:23">
      <c r="Q46" s="88" t="s">
        <v>631</v>
      </c>
      <c r="R46" s="58">
        <v>-27.242424242424239</v>
      </c>
      <c r="S46" s="25"/>
      <c r="T46" s="25"/>
      <c r="U46" s="25"/>
      <c r="V46" s="25"/>
      <c r="W46" s="25"/>
    </row>
    <row r="47" spans="17:23">
      <c r="Q47" s="88" t="s">
        <v>640</v>
      </c>
      <c r="R47" s="58">
        <v>-22.708399872245288</v>
      </c>
      <c r="S47" s="25"/>
      <c r="T47" s="25"/>
      <c r="U47" s="25"/>
      <c r="V47" s="25"/>
      <c r="W47" s="25"/>
    </row>
    <row r="48" spans="17:23">
      <c r="Q48" s="88" t="s">
        <v>649</v>
      </c>
      <c r="R48" s="58">
        <v>-30.185370741482963</v>
      </c>
      <c r="S48" s="25"/>
      <c r="T48" s="25"/>
      <c r="U48" s="25"/>
      <c r="V48" s="25"/>
      <c r="W48" s="25"/>
    </row>
    <row r="49" spans="17:23">
      <c r="Q49" s="88" t="s">
        <v>658</v>
      </c>
      <c r="R49" s="58">
        <f>((S6-R6)/R6)*100</f>
        <v>-3.4899953466728708</v>
      </c>
      <c r="S49" s="25"/>
      <c r="T49" s="25"/>
      <c r="U49" s="25"/>
      <c r="V49" s="25"/>
      <c r="W49" s="25"/>
    </row>
    <row r="50" spans="17:23">
      <c r="Q50" s="88" t="s">
        <v>673</v>
      </c>
      <c r="R50" s="58">
        <f t="shared" ref="R50:R60" si="0">((S7-R7)/R7)*100</f>
        <v>-7.8891257995735611</v>
      </c>
      <c r="S50" s="25"/>
      <c r="T50" s="25"/>
      <c r="U50" s="25"/>
      <c r="V50" s="25"/>
      <c r="W50" s="25"/>
    </row>
    <row r="51" spans="17:23">
      <c r="Q51" s="88" t="s">
        <v>691</v>
      </c>
      <c r="R51" s="58">
        <f t="shared" si="0"/>
        <v>-60.334101382488484</v>
      </c>
      <c r="S51" s="25"/>
      <c r="T51" s="25"/>
      <c r="U51" s="25"/>
      <c r="V51" s="25"/>
      <c r="W51" s="25"/>
    </row>
    <row r="52" spans="17:23">
      <c r="Q52" s="88" t="s">
        <v>700</v>
      </c>
      <c r="R52" s="58">
        <f t="shared" si="0"/>
        <v>54.984260230849948</v>
      </c>
      <c r="S52" s="25"/>
      <c r="T52" s="25"/>
      <c r="U52" s="25"/>
      <c r="V52" s="25"/>
      <c r="W52" s="25"/>
    </row>
    <row r="53" spans="17:23">
      <c r="Q53" s="88" t="s">
        <v>706</v>
      </c>
      <c r="R53" s="58">
        <f t="shared" si="0"/>
        <v>6.9942611190817789</v>
      </c>
      <c r="S53" s="25"/>
      <c r="T53" s="25"/>
      <c r="U53" s="25"/>
      <c r="V53" s="25"/>
      <c r="W53" s="25"/>
    </row>
    <row r="54" spans="17:23">
      <c r="Q54" s="88" t="s">
        <v>709</v>
      </c>
      <c r="R54" s="58">
        <f t="shared" si="0"/>
        <v>-17.011787193373689</v>
      </c>
      <c r="S54" s="25"/>
      <c r="T54" s="25"/>
      <c r="U54" s="25"/>
      <c r="V54" s="25"/>
      <c r="W54" s="25"/>
    </row>
    <row r="55" spans="17:23">
      <c r="Q55" s="88" t="s">
        <v>984</v>
      </c>
      <c r="R55" s="58">
        <f t="shared" si="0"/>
        <v>-0.96899224806201545</v>
      </c>
      <c r="S55" s="25"/>
      <c r="T55" s="25"/>
      <c r="U55" s="25"/>
      <c r="V55" s="25"/>
      <c r="W55" s="25"/>
    </row>
    <row r="56" spans="17:23">
      <c r="Q56" s="88" t="s">
        <v>991</v>
      </c>
      <c r="R56" s="58">
        <f t="shared" si="0"/>
        <v>16.495629038388447</v>
      </c>
      <c r="S56" s="25"/>
      <c r="T56" s="25"/>
      <c r="U56" s="25"/>
      <c r="V56" s="25"/>
      <c r="W56" s="25"/>
    </row>
    <row r="57" spans="17:23">
      <c r="Q57" s="88" t="s">
        <v>1005</v>
      </c>
      <c r="R57" s="58">
        <f t="shared" si="0"/>
        <v>10.191725529767911</v>
      </c>
      <c r="S57" s="25"/>
      <c r="T57" s="25"/>
      <c r="U57" s="25"/>
      <c r="V57" s="25"/>
      <c r="W57" s="25"/>
    </row>
    <row r="58" spans="17:23">
      <c r="Q58" s="88" t="s">
        <v>1015</v>
      </c>
      <c r="R58" s="58">
        <f t="shared" si="0"/>
        <v>7.1220324864639739</v>
      </c>
      <c r="S58" s="25"/>
      <c r="T58" s="25"/>
      <c r="U58" s="25"/>
      <c r="V58" s="25"/>
      <c r="W58" s="25"/>
    </row>
    <row r="59" spans="17:23">
      <c r="Q59" s="88" t="s">
        <v>1027</v>
      </c>
      <c r="R59" s="58">
        <f t="shared" si="0"/>
        <v>39.132231404958681</v>
      </c>
      <c r="S59" s="25"/>
      <c r="T59" s="25"/>
      <c r="U59" s="25"/>
      <c r="V59" s="25"/>
      <c r="W59" s="25"/>
    </row>
    <row r="60" spans="17:23">
      <c r="Q60" s="88" t="s">
        <v>1042</v>
      </c>
      <c r="R60" s="58">
        <f t="shared" si="0"/>
        <v>45.389307499102976</v>
      </c>
      <c r="S60" s="25"/>
      <c r="T60" s="25"/>
      <c r="U60" s="25"/>
      <c r="V60" s="25"/>
      <c r="W60" s="25"/>
    </row>
    <row r="61" spans="17:23">
      <c r="Q61" s="88" t="s">
        <v>1070</v>
      </c>
      <c r="R61" s="58">
        <f t="shared" ref="R61:R66" si="1">((T6-S6)/S6)*100</f>
        <v>13.596914175506269</v>
      </c>
      <c r="S61" s="25"/>
      <c r="T61" s="25"/>
      <c r="U61" s="25"/>
      <c r="V61" s="25"/>
      <c r="W61" s="25"/>
    </row>
    <row r="62" spans="17:23">
      <c r="Q62" s="88" t="s">
        <v>1107</v>
      </c>
      <c r="R62" s="58">
        <f t="shared" si="1"/>
        <v>15.084876543209877</v>
      </c>
      <c r="S62" s="25"/>
      <c r="T62" s="25"/>
      <c r="U62" s="25"/>
      <c r="V62" s="25"/>
      <c r="W62" s="25"/>
    </row>
    <row r="63" spans="17:23">
      <c r="Q63" s="88" t="s">
        <v>1140</v>
      </c>
      <c r="R63" s="58">
        <f t="shared" si="1"/>
        <v>6.1283764159163523</v>
      </c>
      <c r="S63" s="25"/>
      <c r="T63" s="25"/>
      <c r="U63" s="25"/>
      <c r="V63" s="25"/>
      <c r="W63" s="25"/>
    </row>
    <row r="64" spans="17:23">
      <c r="Q64" s="88" t="s">
        <v>1164</v>
      </c>
      <c r="R64" s="58">
        <f t="shared" si="1"/>
        <v>8.4292484766418418</v>
      </c>
      <c r="S64" s="25"/>
      <c r="T64" s="25"/>
      <c r="U64" s="25"/>
      <c r="V64" s="25"/>
      <c r="W64" s="25"/>
    </row>
    <row r="65" spans="1:23">
      <c r="A65" s="25" t="s">
        <v>678</v>
      </c>
      <c r="Q65" s="88" t="s">
        <v>1190</v>
      </c>
      <c r="R65" s="58">
        <f t="shared" si="1"/>
        <v>31.377807576265504</v>
      </c>
      <c r="S65" s="25"/>
      <c r="T65" s="25"/>
      <c r="U65" s="25"/>
      <c r="V65" s="25"/>
      <c r="W65" s="25"/>
    </row>
    <row r="66" spans="1:23">
      <c r="Q66" s="88" t="s">
        <v>1219</v>
      </c>
      <c r="R66" s="58">
        <f t="shared" si="1"/>
        <v>57.811900191938584</v>
      </c>
      <c r="S66" s="25"/>
      <c r="T66" s="25"/>
      <c r="U66" s="25"/>
      <c r="V66" s="25"/>
      <c r="W66" s="25"/>
    </row>
    <row r="67" spans="1:23">
      <c r="Q67" s="88" t="s">
        <v>1227</v>
      </c>
      <c r="R67" s="58">
        <f>((T12-S12)/S12)*100</f>
        <v>31.115459882583167</v>
      </c>
      <c r="S67" s="25"/>
      <c r="T67" s="25"/>
      <c r="U67" s="25"/>
      <c r="V67" s="25"/>
      <c r="W67" s="25"/>
    </row>
    <row r="68" spans="1:23">
      <c r="Q68" s="88" t="s">
        <v>1241</v>
      </c>
      <c r="R68" s="58">
        <f>((T13-S13)/S13)*100</f>
        <v>31.941272430668842</v>
      </c>
      <c r="S68" s="25"/>
      <c r="T68" s="25"/>
      <c r="U68" s="25"/>
      <c r="V68" s="25"/>
      <c r="W68" s="25"/>
    </row>
    <row r="69" spans="1:23">
      <c r="Q69" s="88" t="s">
        <v>1281</v>
      </c>
      <c r="R69" s="58">
        <f>((T14-S14)/S14)*100</f>
        <v>36.660561660561655</v>
      </c>
      <c r="S69" s="25"/>
      <c r="T69" s="25"/>
      <c r="U69" s="25"/>
      <c r="V69" s="25"/>
      <c r="W69" s="25"/>
    </row>
    <row r="70" spans="1:23">
      <c r="R70" s="58"/>
      <c r="S70" s="25"/>
      <c r="T70" s="25"/>
      <c r="U70" s="25"/>
      <c r="V70" s="25"/>
      <c r="W70" s="25"/>
    </row>
    <row r="71" spans="1:23">
      <c r="S71" s="25"/>
      <c r="T71" s="25"/>
      <c r="U71" s="25"/>
      <c r="V71" s="25"/>
      <c r="W71" s="25"/>
    </row>
    <row r="72" spans="1:23">
      <c r="S72" s="25"/>
      <c r="T72" s="25"/>
      <c r="U72" s="25"/>
      <c r="V72" s="25"/>
      <c r="W72" s="25"/>
    </row>
    <row r="73" spans="1:23">
      <c r="Q73" s="25"/>
      <c r="R73" s="58"/>
      <c r="S73" s="25"/>
      <c r="T73" s="25"/>
      <c r="U73" s="25"/>
      <c r="V73" s="25"/>
      <c r="W73" s="25"/>
    </row>
    <row r="74" spans="1:23">
      <c r="Q74" s="88"/>
      <c r="R74" s="58"/>
      <c r="S74" s="25"/>
      <c r="T74" s="25"/>
      <c r="U74" s="25"/>
      <c r="V74" s="25"/>
      <c r="W74" s="25"/>
    </row>
    <row r="75" spans="1:23">
      <c r="Q75" s="88"/>
      <c r="R75" s="58"/>
      <c r="S75" s="25"/>
      <c r="T75" s="25"/>
      <c r="U75" s="25"/>
      <c r="V75" s="25"/>
      <c r="W75" s="25"/>
    </row>
    <row r="76" spans="1:23">
      <c r="Q76" s="88"/>
      <c r="R76" s="58"/>
      <c r="S76" s="25"/>
      <c r="T76" s="25"/>
      <c r="U76" s="25"/>
      <c r="V76" s="25"/>
      <c r="W76" s="25"/>
    </row>
    <row r="77" spans="1:23">
      <c r="Q77" s="88"/>
      <c r="R77" s="58"/>
      <c r="S77" s="25"/>
      <c r="T77" s="25"/>
      <c r="U77" s="25"/>
      <c r="V77" s="25"/>
      <c r="W77" s="25"/>
    </row>
    <row r="78" spans="1:23">
      <c r="Q78" s="88"/>
      <c r="R78" s="58"/>
      <c r="S78" s="25"/>
      <c r="T78" s="25"/>
      <c r="U78" s="25"/>
      <c r="V78" s="25"/>
      <c r="W78" s="25"/>
    </row>
    <row r="79" spans="1:23">
      <c r="Q79" s="88"/>
      <c r="R79" s="58"/>
      <c r="S79" s="25"/>
      <c r="T79" s="25"/>
      <c r="U79" s="25"/>
      <c r="V79" s="25"/>
      <c r="W79" s="25"/>
    </row>
    <row r="80" spans="1:23">
      <c r="Q80" s="15"/>
      <c r="R80" s="8"/>
    </row>
    <row r="81" spans="17:18">
      <c r="Q81" s="15"/>
      <c r="R81" s="8"/>
    </row>
    <row r="82" spans="17:18">
      <c r="Q82" s="15"/>
      <c r="R82" s="8"/>
    </row>
    <row r="83" spans="17:18">
      <c r="Q83" s="15"/>
      <c r="R83" s="8"/>
    </row>
    <row r="84" spans="17:18">
      <c r="Q84" s="15"/>
      <c r="R84"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2:J64"/>
  <sheetViews>
    <sheetView showZeros="0" workbookViewId="0">
      <pane ySplit="7" topLeftCell="A8" activePane="bottomLeft" state="frozen"/>
      <selection pane="bottomLeft" activeCell="C3" sqref="C3"/>
    </sheetView>
  </sheetViews>
  <sheetFormatPr baseColWidth="10" defaultColWidth="8.83203125" defaultRowHeight="15"/>
  <cols>
    <col min="1" max="1" width="13.6640625" customWidth="1"/>
    <col min="2" max="9" width="10.33203125" customWidth="1"/>
    <col min="10" max="12" width="12.6640625" customWidth="1"/>
  </cols>
  <sheetData>
    <row r="2" spans="1:10" ht="19.25" customHeight="1" thickBot="1">
      <c r="C2" s="56" t="s">
        <v>1205</v>
      </c>
      <c r="D2" s="56"/>
      <c r="E2" s="56"/>
      <c r="F2" s="56"/>
      <c r="G2" s="56"/>
      <c r="H2" s="56"/>
    </row>
    <row r="4" spans="1:10" ht="15" customHeight="1">
      <c r="A4" s="89" t="s">
        <v>457</v>
      </c>
      <c r="B4" s="25"/>
      <c r="C4" s="25"/>
      <c r="D4" s="25"/>
      <c r="E4" s="257" t="s">
        <v>452</v>
      </c>
      <c r="F4" s="257"/>
      <c r="G4" s="257"/>
      <c r="H4" s="257"/>
      <c r="I4" s="257"/>
      <c r="J4" s="25"/>
    </row>
    <row r="5" spans="1:10">
      <c r="A5" s="103"/>
      <c r="B5" s="259" t="s">
        <v>535</v>
      </c>
      <c r="C5" s="260"/>
      <c r="D5" s="259" t="s">
        <v>535</v>
      </c>
      <c r="E5" s="260"/>
      <c r="F5" s="272" t="s">
        <v>536</v>
      </c>
      <c r="G5" s="273"/>
      <c r="H5" s="259" t="s">
        <v>537</v>
      </c>
      <c r="I5" s="260"/>
      <c r="J5" s="25"/>
    </row>
    <row r="6" spans="1:10">
      <c r="A6" s="103" t="s">
        <v>463</v>
      </c>
      <c r="B6" s="117" t="str">
        <f>Innehåll!D79</f>
        <v xml:space="preserve"> 2023-09</v>
      </c>
      <c r="C6" s="117" t="str">
        <f>Innehåll!D80</f>
        <v xml:space="preserve"> 2022-09</v>
      </c>
      <c r="D6" s="117" t="str">
        <f>Innehåll!D81</f>
        <v>YTD  2023</v>
      </c>
      <c r="E6" s="117" t="str">
        <f>Innehåll!D82</f>
        <v>YTD  2022</v>
      </c>
      <c r="F6" s="131" t="str">
        <f>B6</f>
        <v xml:space="preserve"> 2023-09</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674</v>
      </c>
      <c r="B8" s="25">
        <v>5</v>
      </c>
      <c r="C8" s="25">
        <v>0</v>
      </c>
      <c r="D8" s="25">
        <v>16</v>
      </c>
      <c r="E8" s="25">
        <v>0</v>
      </c>
      <c r="F8" s="25">
        <v>0</v>
      </c>
      <c r="G8" s="25">
        <v>0</v>
      </c>
      <c r="H8" s="25">
        <v>0.1</v>
      </c>
      <c r="I8" s="25">
        <v>0</v>
      </c>
      <c r="J8" s="25"/>
    </row>
    <row r="9" spans="1:10">
      <c r="A9" s="25" t="s">
        <v>262</v>
      </c>
      <c r="B9" s="25">
        <v>3</v>
      </c>
      <c r="C9" s="25">
        <v>0</v>
      </c>
      <c r="D9" s="25">
        <v>24</v>
      </c>
      <c r="E9" s="25">
        <v>15</v>
      </c>
      <c r="F9" s="25">
        <v>0</v>
      </c>
      <c r="G9" s="25">
        <v>60</v>
      </c>
      <c r="H9" s="25">
        <v>0.1</v>
      </c>
      <c r="I9" s="25">
        <v>0.1</v>
      </c>
      <c r="J9" s="25"/>
    </row>
    <row r="10" spans="1:10">
      <c r="A10" s="25" t="s">
        <v>263</v>
      </c>
      <c r="B10" s="25">
        <v>108</v>
      </c>
      <c r="C10" s="25">
        <v>210</v>
      </c>
      <c r="D10" s="25">
        <v>784</v>
      </c>
      <c r="E10" s="25">
        <v>1023</v>
      </c>
      <c r="F10" s="25">
        <v>-48.6</v>
      </c>
      <c r="G10" s="25">
        <v>-23.4</v>
      </c>
      <c r="H10" s="25">
        <v>2.5</v>
      </c>
      <c r="I10" s="25">
        <v>4.2</v>
      </c>
      <c r="J10" s="25"/>
    </row>
    <row r="11" spans="1:10">
      <c r="A11" s="25" t="s">
        <v>264</v>
      </c>
      <c r="B11" s="25">
        <v>0</v>
      </c>
      <c r="C11" s="25">
        <v>1</v>
      </c>
      <c r="D11" s="25">
        <v>0</v>
      </c>
      <c r="E11" s="25">
        <v>1</v>
      </c>
      <c r="F11" s="25">
        <v>-100</v>
      </c>
      <c r="G11" s="25">
        <v>-100</v>
      </c>
      <c r="H11" s="25">
        <v>0</v>
      </c>
      <c r="I11" s="25">
        <v>0</v>
      </c>
      <c r="J11" s="25"/>
    </row>
    <row r="12" spans="1:10">
      <c r="A12" s="25" t="s">
        <v>1103</v>
      </c>
      <c r="B12" s="25">
        <v>0</v>
      </c>
      <c r="C12" s="25">
        <v>4</v>
      </c>
      <c r="D12" s="25">
        <v>1</v>
      </c>
      <c r="E12" s="25">
        <v>9</v>
      </c>
      <c r="F12" s="25">
        <v>-100</v>
      </c>
      <c r="G12" s="25">
        <v>-88.9</v>
      </c>
      <c r="H12" s="25">
        <v>0</v>
      </c>
      <c r="I12" s="25">
        <v>0</v>
      </c>
      <c r="J12" s="25"/>
    </row>
    <row r="13" spans="1:10">
      <c r="A13" s="25" t="s">
        <v>265</v>
      </c>
      <c r="B13" s="25">
        <v>52</v>
      </c>
      <c r="C13" s="25">
        <v>12</v>
      </c>
      <c r="D13" s="25">
        <v>378</v>
      </c>
      <c r="E13" s="25">
        <v>108</v>
      </c>
      <c r="F13" s="25">
        <v>333.3</v>
      </c>
      <c r="G13" s="25">
        <v>250</v>
      </c>
      <c r="H13" s="25">
        <v>1.2</v>
      </c>
      <c r="I13" s="25">
        <v>0.4</v>
      </c>
      <c r="J13" s="25"/>
    </row>
    <row r="14" spans="1:10">
      <c r="A14" s="25" t="s">
        <v>266</v>
      </c>
      <c r="B14" s="61">
        <v>629</v>
      </c>
      <c r="C14" s="61">
        <v>709</v>
      </c>
      <c r="D14" s="61">
        <v>4746</v>
      </c>
      <c r="E14" s="61">
        <v>4415</v>
      </c>
      <c r="F14" s="25">
        <v>-11.3</v>
      </c>
      <c r="G14" s="25">
        <v>7.5</v>
      </c>
      <c r="H14" s="25">
        <v>15.4</v>
      </c>
      <c r="I14" s="25">
        <v>18</v>
      </c>
      <c r="J14" s="25"/>
    </row>
    <row r="15" spans="1:10">
      <c r="A15" s="25" t="s">
        <v>361</v>
      </c>
      <c r="B15" s="61">
        <v>83</v>
      </c>
      <c r="C15" s="61">
        <v>21</v>
      </c>
      <c r="D15" s="61">
        <v>638</v>
      </c>
      <c r="E15" s="61">
        <v>467</v>
      </c>
      <c r="F15" s="25">
        <v>295.2</v>
      </c>
      <c r="G15" s="25">
        <v>36.6</v>
      </c>
      <c r="H15" s="25">
        <v>2.1</v>
      </c>
      <c r="I15" s="25">
        <v>1.9</v>
      </c>
      <c r="J15" s="25"/>
    </row>
    <row r="16" spans="1:10">
      <c r="A16" s="25" t="s">
        <v>269</v>
      </c>
      <c r="B16" s="61">
        <v>74</v>
      </c>
      <c r="C16" s="61">
        <v>57</v>
      </c>
      <c r="D16" s="61">
        <v>621</v>
      </c>
      <c r="E16" s="61">
        <v>462</v>
      </c>
      <c r="F16" s="25">
        <v>29.8</v>
      </c>
      <c r="G16" s="25">
        <v>34.4</v>
      </c>
      <c r="H16" s="25">
        <v>2</v>
      </c>
      <c r="I16" s="25">
        <v>1.9</v>
      </c>
      <c r="J16" s="25"/>
    </row>
    <row r="17" spans="1:10">
      <c r="A17" s="25" t="s">
        <v>271</v>
      </c>
      <c r="B17" s="61">
        <v>0</v>
      </c>
      <c r="C17" s="61">
        <v>0</v>
      </c>
      <c r="D17" s="61">
        <v>16</v>
      </c>
      <c r="E17" s="61">
        <v>0</v>
      </c>
      <c r="F17" s="25">
        <v>0</v>
      </c>
      <c r="G17" s="25">
        <v>0</v>
      </c>
      <c r="H17" s="25">
        <v>0.1</v>
      </c>
      <c r="I17" s="25">
        <v>0</v>
      </c>
      <c r="J17" s="25"/>
    </row>
    <row r="18" spans="1:10">
      <c r="A18" s="25" t="s">
        <v>274</v>
      </c>
      <c r="B18" s="61">
        <v>0</v>
      </c>
      <c r="C18" s="61">
        <v>0</v>
      </c>
      <c r="D18" s="61">
        <v>2</v>
      </c>
      <c r="E18" s="61">
        <v>0</v>
      </c>
      <c r="F18" s="25">
        <v>0</v>
      </c>
      <c r="G18" s="25">
        <v>0</v>
      </c>
      <c r="H18" s="25">
        <v>0</v>
      </c>
      <c r="I18" s="25">
        <v>0</v>
      </c>
      <c r="J18" s="25"/>
    </row>
    <row r="19" spans="1:10">
      <c r="A19" s="25" t="s">
        <v>1104</v>
      </c>
      <c r="B19" s="61">
        <v>0</v>
      </c>
      <c r="C19" s="61">
        <v>0</v>
      </c>
      <c r="D19" s="61">
        <v>2</v>
      </c>
      <c r="E19" s="61">
        <v>12</v>
      </c>
      <c r="F19" s="25">
        <v>0</v>
      </c>
      <c r="G19" s="25">
        <v>-83.3</v>
      </c>
      <c r="H19" s="25">
        <v>0</v>
      </c>
      <c r="I19" s="25">
        <v>0</v>
      </c>
      <c r="J19" s="25"/>
    </row>
    <row r="20" spans="1:10">
      <c r="A20" s="25" t="s">
        <v>276</v>
      </c>
      <c r="B20" s="61">
        <v>5</v>
      </c>
      <c r="C20" s="61">
        <v>6</v>
      </c>
      <c r="D20" s="61">
        <v>43</v>
      </c>
      <c r="E20" s="61">
        <v>59</v>
      </c>
      <c r="F20" s="25">
        <v>-16.7</v>
      </c>
      <c r="G20" s="25">
        <v>-27.1</v>
      </c>
      <c r="H20" s="25">
        <v>0.1</v>
      </c>
      <c r="I20" s="25">
        <v>0.2</v>
      </c>
      <c r="J20" s="25"/>
    </row>
    <row r="21" spans="1:10">
      <c r="A21" s="25" t="s">
        <v>414</v>
      </c>
      <c r="B21" s="61">
        <v>36</v>
      </c>
      <c r="C21" s="61">
        <v>55</v>
      </c>
      <c r="D21" s="61">
        <v>475</v>
      </c>
      <c r="E21" s="61">
        <v>369</v>
      </c>
      <c r="F21" s="25">
        <v>-34.5</v>
      </c>
      <c r="G21" s="25">
        <v>28.7</v>
      </c>
      <c r="H21" s="25">
        <v>1.5</v>
      </c>
      <c r="I21" s="25">
        <v>1.5</v>
      </c>
      <c r="J21" s="25"/>
    </row>
    <row r="22" spans="1:10">
      <c r="A22" s="25" t="s">
        <v>378</v>
      </c>
      <c r="B22" s="61">
        <v>567</v>
      </c>
      <c r="C22" s="61">
        <v>432</v>
      </c>
      <c r="D22" s="61">
        <v>3844</v>
      </c>
      <c r="E22" s="61">
        <v>3484</v>
      </c>
      <c r="F22" s="25">
        <v>31.3</v>
      </c>
      <c r="G22" s="25">
        <v>10.3</v>
      </c>
      <c r="H22" s="25">
        <v>12.5</v>
      </c>
      <c r="I22" s="25">
        <v>14.2</v>
      </c>
      <c r="J22" s="25"/>
    </row>
    <row r="23" spans="1:10">
      <c r="A23" s="25" t="s">
        <v>282</v>
      </c>
      <c r="B23" s="61">
        <v>102</v>
      </c>
      <c r="C23" s="61">
        <v>46</v>
      </c>
      <c r="D23" s="61">
        <v>737</v>
      </c>
      <c r="E23" s="61">
        <v>450</v>
      </c>
      <c r="F23" s="25">
        <v>121.7</v>
      </c>
      <c r="G23" s="25">
        <v>63.8</v>
      </c>
      <c r="H23" s="25">
        <v>2.4</v>
      </c>
      <c r="I23" s="25">
        <v>1.8</v>
      </c>
      <c r="J23" s="25"/>
    </row>
    <row r="24" spans="1:10">
      <c r="A24" s="25" t="s">
        <v>283</v>
      </c>
      <c r="B24" s="61">
        <v>245</v>
      </c>
      <c r="C24" s="61">
        <v>103</v>
      </c>
      <c r="D24" s="61">
        <v>1278</v>
      </c>
      <c r="E24" s="61">
        <v>538</v>
      </c>
      <c r="F24" s="25">
        <v>137.9</v>
      </c>
      <c r="G24" s="25">
        <v>137.5</v>
      </c>
      <c r="H24" s="25">
        <v>4.2</v>
      </c>
      <c r="I24" s="25">
        <v>2.2000000000000002</v>
      </c>
      <c r="J24" s="25"/>
    </row>
    <row r="25" spans="1:10">
      <c r="A25" s="145" t="s">
        <v>284</v>
      </c>
      <c r="B25" s="146">
        <v>389</v>
      </c>
      <c r="C25" s="146">
        <v>307</v>
      </c>
      <c r="D25" s="146">
        <v>2362</v>
      </c>
      <c r="E25" s="146">
        <v>2487</v>
      </c>
      <c r="F25" s="147">
        <v>26.7</v>
      </c>
      <c r="G25" s="147">
        <v>-5</v>
      </c>
      <c r="H25" s="145">
        <v>7.7</v>
      </c>
      <c r="I25" s="145">
        <v>10.1</v>
      </c>
      <c r="J25" s="25"/>
    </row>
    <row r="26" spans="1:10">
      <c r="A26" s="145" t="s">
        <v>1137</v>
      </c>
      <c r="B26" s="146">
        <v>0</v>
      </c>
      <c r="C26" s="146">
        <v>0</v>
      </c>
      <c r="D26" s="146">
        <v>7</v>
      </c>
      <c r="E26" s="146">
        <v>0</v>
      </c>
      <c r="F26" s="145">
        <v>0</v>
      </c>
      <c r="G26" s="145">
        <v>0</v>
      </c>
      <c r="H26" s="145">
        <v>0</v>
      </c>
      <c r="I26" s="145">
        <v>0</v>
      </c>
      <c r="J26" s="25"/>
    </row>
    <row r="27" spans="1:10">
      <c r="A27" s="145" t="s">
        <v>286</v>
      </c>
      <c r="B27" s="146">
        <v>473</v>
      </c>
      <c r="C27" s="146">
        <v>304</v>
      </c>
      <c r="D27" s="146">
        <v>3380</v>
      </c>
      <c r="E27" s="146">
        <v>2738</v>
      </c>
      <c r="F27" s="145">
        <v>55.6</v>
      </c>
      <c r="G27" s="145">
        <v>23.4</v>
      </c>
      <c r="H27" s="145">
        <v>11</v>
      </c>
      <c r="I27" s="145">
        <v>11.2</v>
      </c>
      <c r="J27" s="25"/>
    </row>
    <row r="28" spans="1:10">
      <c r="A28" s="145" t="s">
        <v>1240</v>
      </c>
      <c r="B28" s="146">
        <v>0</v>
      </c>
      <c r="C28" s="146">
        <v>0</v>
      </c>
      <c r="D28" s="146">
        <v>1</v>
      </c>
      <c r="E28" s="146">
        <v>0</v>
      </c>
      <c r="F28" s="147">
        <v>0</v>
      </c>
      <c r="G28" s="147">
        <v>0</v>
      </c>
      <c r="H28" s="145">
        <v>0</v>
      </c>
      <c r="I28" s="145">
        <v>0</v>
      </c>
      <c r="J28" s="25"/>
    </row>
    <row r="29" spans="1:10">
      <c r="A29" s="145" t="s">
        <v>290</v>
      </c>
      <c r="B29" s="146">
        <v>17</v>
      </c>
      <c r="C29" s="146">
        <v>15</v>
      </c>
      <c r="D29" s="146">
        <v>136</v>
      </c>
      <c r="E29" s="146">
        <v>129</v>
      </c>
      <c r="F29" s="145">
        <v>13.3</v>
      </c>
      <c r="G29" s="145">
        <v>5.4</v>
      </c>
      <c r="H29" s="145">
        <v>0.4</v>
      </c>
      <c r="I29" s="145">
        <v>0.5</v>
      </c>
      <c r="J29" s="25"/>
    </row>
    <row r="30" spans="1:10">
      <c r="A30" s="145" t="s">
        <v>292</v>
      </c>
      <c r="B30" s="146">
        <v>342</v>
      </c>
      <c r="C30" s="146">
        <v>175</v>
      </c>
      <c r="D30" s="146">
        <v>2381</v>
      </c>
      <c r="E30" s="146">
        <v>2014</v>
      </c>
      <c r="F30" s="145">
        <v>95.4</v>
      </c>
      <c r="G30" s="145">
        <v>18.2</v>
      </c>
      <c r="H30" s="145">
        <v>7.7</v>
      </c>
      <c r="I30" s="145">
        <v>8.1999999999999993</v>
      </c>
      <c r="J30" s="25"/>
    </row>
    <row r="31" spans="1:10">
      <c r="A31" s="145" t="s">
        <v>293</v>
      </c>
      <c r="B31" s="146">
        <v>1339</v>
      </c>
      <c r="C31" s="146">
        <v>808</v>
      </c>
      <c r="D31" s="146">
        <v>8795</v>
      </c>
      <c r="E31" s="146">
        <v>5639</v>
      </c>
      <c r="F31" s="145">
        <v>65.7</v>
      </c>
      <c r="G31" s="145">
        <v>56</v>
      </c>
      <c r="H31" s="145">
        <v>28.6</v>
      </c>
      <c r="I31" s="145">
        <v>23</v>
      </c>
      <c r="J31" s="25"/>
    </row>
    <row r="32" spans="1:10">
      <c r="A32" s="145" t="s">
        <v>295</v>
      </c>
      <c r="B32" s="146">
        <v>8</v>
      </c>
      <c r="C32" s="146">
        <v>11</v>
      </c>
      <c r="D32" s="146">
        <v>90</v>
      </c>
      <c r="E32" s="146">
        <v>105</v>
      </c>
      <c r="F32" s="145">
        <v>-27.3</v>
      </c>
      <c r="G32" s="145">
        <v>-14.3</v>
      </c>
      <c r="H32" s="145">
        <v>0.3</v>
      </c>
      <c r="I32" s="145">
        <v>0.4</v>
      </c>
      <c r="J32" s="25"/>
    </row>
    <row r="33" spans="1:9">
      <c r="A33" s="145" t="s">
        <v>454</v>
      </c>
      <c r="B33" s="146">
        <f>SUBTOTAL(109,Table_bdsql12_BDnewRegistrations_getAggMakes[antalPerioden])</f>
        <v>4477</v>
      </c>
      <c r="C33" s="146">
        <f>SUBTOTAL(109,Table_bdsql12_BDnewRegistrations_getAggMakes[antalPeriodenFG])</f>
        <v>3276</v>
      </c>
      <c r="D33" s="146">
        <f>SUBTOTAL(109,Table_bdsql12_BDnewRegistrations_getAggMakes[antalAret])</f>
        <v>30757</v>
      </c>
      <c r="E33" s="146">
        <f>SUBTOTAL(109,Table_bdsql12_BDnewRegistrations_getAggMakes[antalAretFG])</f>
        <v>24524</v>
      </c>
      <c r="F33" s="147">
        <f>IF(Table_bdsql12_BDnewRegistrations_getAggMakes[[#Totals],[antalPeriodenFG]] &gt; 0,( Table_bdsql12_BDnewRegistrations_getAggMakes[[#Totals],[antalPerioden]] - Table_bdsql12_BDnewRegistrations_getAggMakes[[#Totals],[antalPeriodenFG]] ) / Table_bdsql12_BDnewRegistrations_getAggMakes[[#Totals],[antalPeriodenFG]] * 100,0)</f>
        <v>36.660561660561655</v>
      </c>
      <c r="G33" s="147">
        <f>IF(Table_bdsql12_BDnewRegistrations_getAggMakes[[#Totals],[antalAretFG]] &gt; 0,( Table_bdsql12_BDnewRegistrations_getAggMakes[[#Totals],[antalAret]] - Table_bdsql12_BDnewRegistrations_getAggMakes[[#Totals],[antalAretFG]] ) / Table_bdsql12_BDnewRegistrations_getAggMakes[[#Totals],[antalAretFG]] * 100,0)</f>
        <v>25.415919099657479</v>
      </c>
      <c r="H33" s="149" t="str">
        <f>TEXT(100,"0,0")</f>
        <v>100,0</v>
      </c>
      <c r="I33" s="149" t="str">
        <f>TEXT(100,"0,0")</f>
        <v>100,0</v>
      </c>
    </row>
    <row r="34" spans="1:9">
      <c r="A34" s="25" t="s">
        <v>678</v>
      </c>
    </row>
    <row r="63" spans="2:8" ht="16">
      <c r="B63" s="5"/>
      <c r="C63" s="5"/>
      <c r="D63" s="5"/>
      <c r="E63" s="5"/>
      <c r="F63" s="5"/>
      <c r="G63" s="14"/>
      <c r="H63" s="14"/>
    </row>
    <row r="64" spans="2:8">
      <c r="B64" s="5"/>
      <c r="C64" s="13"/>
      <c r="D64" s="5"/>
      <c r="E64" s="13"/>
      <c r="F64" s="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0E00-000000000000}"/>
    <dataValidation allowBlank="1" showInputMessage="1" showErrorMessage="1" prompt="visar antalet registreringar för den aktuella månaden i år." sqref="B6:E6" xr:uid="{00000000-0002-0000-0E00-000001000000}"/>
    <dataValidation allowBlank="1" showInputMessage="1" showErrorMessage="1" prompt="förändring i marknads-andelen ackumulerat från årets början t.o.m den aktuella månaden." sqref="I6" xr:uid="{00000000-0002-0000-0E00-000002000000}"/>
  </dataValidations>
  <pageMargins left="0.70866141732283472" right="0.31496062992125984" top="0.74803149606299213" bottom="0.74803149606299213" header="0.31496062992125984" footer="0.31496062992125984"/>
  <pageSetup paperSize="9"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pageSetUpPr fitToPage="1"/>
  </sheetPr>
  <dimension ref="A2:M38"/>
  <sheetViews>
    <sheetView showZeros="0" workbookViewId="0">
      <selection activeCell="C3" sqref="C3"/>
    </sheetView>
  </sheetViews>
  <sheetFormatPr baseColWidth="10" defaultColWidth="8.83203125" defaultRowHeight="15"/>
  <cols>
    <col min="1" max="1" width="3.83203125" customWidth="1"/>
    <col min="2" max="2" width="26.33203125" customWidth="1"/>
    <col min="3" max="6" width="10.33203125" customWidth="1"/>
    <col min="7" max="7" width="11.5" customWidth="1"/>
    <col min="8" max="8" width="11" customWidth="1"/>
    <col min="9" max="12" width="10.33203125" customWidth="1"/>
  </cols>
  <sheetData>
    <row r="2" spans="1:13" ht="19.25" customHeight="1" thickBot="1">
      <c r="C2" s="56" t="s">
        <v>1206</v>
      </c>
      <c r="D2" s="56"/>
      <c r="E2" s="56"/>
      <c r="F2" s="56"/>
      <c r="G2" s="56"/>
      <c r="H2" s="56"/>
    </row>
    <row r="4" spans="1:13">
      <c r="A4" s="59" t="s">
        <v>451</v>
      </c>
      <c r="B4" s="25"/>
      <c r="C4" s="25"/>
      <c r="D4" s="25"/>
      <c r="E4" s="25"/>
      <c r="F4" s="25"/>
      <c r="G4" s="25"/>
      <c r="H4" s="257" t="s">
        <v>452</v>
      </c>
      <c r="I4" s="257"/>
      <c r="J4" s="257"/>
      <c r="K4" s="257"/>
      <c r="L4" s="257"/>
      <c r="M4" s="25"/>
    </row>
    <row r="5" spans="1:13">
      <c r="A5" s="103"/>
      <c r="B5" s="103"/>
      <c r="C5" s="103" t="s">
        <v>535</v>
      </c>
      <c r="D5" s="103"/>
      <c r="E5" s="103" t="s">
        <v>535</v>
      </c>
      <c r="F5" s="103"/>
      <c r="G5" s="103" t="s">
        <v>536</v>
      </c>
      <c r="H5" s="103"/>
      <c r="I5" s="103" t="s">
        <v>537</v>
      </c>
      <c r="J5" s="103"/>
      <c r="K5" s="103" t="s">
        <v>537</v>
      </c>
      <c r="L5" s="103"/>
      <c r="M5" s="25"/>
    </row>
    <row r="6" spans="1:13">
      <c r="A6" s="103"/>
      <c r="B6" s="103" t="s">
        <v>466</v>
      </c>
      <c r="C6" s="103" t="str">
        <f>Innehåll!D79</f>
        <v xml:space="preserve"> 2023-09</v>
      </c>
      <c r="D6" s="103" t="str">
        <f>Innehåll!D80</f>
        <v xml:space="preserve"> 2022-09</v>
      </c>
      <c r="E6" s="103" t="str">
        <f>Innehåll!D81</f>
        <v>YTD  2023</v>
      </c>
      <c r="F6" s="103" t="str">
        <f>Innehåll!D82</f>
        <v>YTD  2022</v>
      </c>
      <c r="G6" s="103" t="str">
        <f>C6</f>
        <v xml:space="preserve"> 2023-09</v>
      </c>
      <c r="H6" s="103" t="str">
        <f>E6</f>
        <v>YTD  2023</v>
      </c>
      <c r="I6" s="103" t="str">
        <f>C6</f>
        <v xml:space="preserve"> 2023-09</v>
      </c>
      <c r="J6" s="103" t="str">
        <f>E6</f>
        <v>YTD  2023</v>
      </c>
      <c r="K6" s="103" t="str">
        <f>D6</f>
        <v xml:space="preserve"> 2022-09</v>
      </c>
      <c r="L6" s="103" t="str">
        <f>F6</f>
        <v>YTD  2022</v>
      </c>
      <c r="M6" s="25"/>
    </row>
    <row r="7" spans="1:13" ht="15" hidden="1" customHeight="1">
      <c r="A7" s="25" t="s">
        <v>24</v>
      </c>
      <c r="B7" s="25" t="s">
        <v>25</v>
      </c>
      <c r="C7" s="25" t="s">
        <v>26</v>
      </c>
      <c r="D7" s="25" t="s">
        <v>27</v>
      </c>
      <c r="E7" s="25" t="s">
        <v>28</v>
      </c>
      <c r="F7" s="25" t="s">
        <v>29</v>
      </c>
      <c r="G7" s="25" t="s">
        <v>30</v>
      </c>
      <c r="H7" s="25" t="s">
        <v>31</v>
      </c>
      <c r="I7" s="25" t="s">
        <v>32</v>
      </c>
      <c r="J7" s="25" t="s">
        <v>33</v>
      </c>
      <c r="K7" s="25" t="s">
        <v>34</v>
      </c>
      <c r="L7" s="25" t="s">
        <v>35</v>
      </c>
      <c r="M7" s="25"/>
    </row>
    <row r="8" spans="1:13">
      <c r="A8" s="25">
        <v>1</v>
      </c>
      <c r="B8" s="25" t="s">
        <v>1013</v>
      </c>
      <c r="C8" s="61">
        <v>194</v>
      </c>
      <c r="D8" s="61">
        <v>0</v>
      </c>
      <c r="E8" s="61">
        <v>847</v>
      </c>
      <c r="F8" s="61">
        <v>0</v>
      </c>
      <c r="G8" s="25">
        <v>0</v>
      </c>
      <c r="H8" s="25">
        <v>0</v>
      </c>
      <c r="I8" s="25">
        <v>3.42</v>
      </c>
      <c r="J8" s="25">
        <v>14.92</v>
      </c>
      <c r="K8" s="25">
        <v>0</v>
      </c>
      <c r="L8" s="25">
        <v>0</v>
      </c>
      <c r="M8" s="25"/>
    </row>
    <row r="9" spans="1:13">
      <c r="A9" s="25">
        <v>2</v>
      </c>
      <c r="B9" s="25" t="s">
        <v>620</v>
      </c>
      <c r="C9" s="61">
        <v>111</v>
      </c>
      <c r="D9" s="61">
        <v>90</v>
      </c>
      <c r="E9" s="61">
        <v>742</v>
      </c>
      <c r="F9" s="61">
        <v>381</v>
      </c>
      <c r="G9" s="25">
        <v>23.33</v>
      </c>
      <c r="H9" s="25">
        <v>94.75</v>
      </c>
      <c r="I9" s="25">
        <v>1.96</v>
      </c>
      <c r="J9" s="25">
        <v>13.07</v>
      </c>
      <c r="K9" s="25">
        <v>19.48</v>
      </c>
      <c r="L9" s="25">
        <v>12.44</v>
      </c>
      <c r="M9" s="25"/>
    </row>
    <row r="10" spans="1:13">
      <c r="A10" s="25">
        <v>3</v>
      </c>
      <c r="B10" s="25" t="s">
        <v>619</v>
      </c>
      <c r="C10" s="61">
        <v>122</v>
      </c>
      <c r="D10" s="61">
        <v>61</v>
      </c>
      <c r="E10" s="61">
        <v>733</v>
      </c>
      <c r="F10" s="61">
        <v>463</v>
      </c>
      <c r="G10" s="25">
        <v>100</v>
      </c>
      <c r="H10" s="25">
        <v>58.32</v>
      </c>
      <c r="I10" s="25">
        <v>2.15</v>
      </c>
      <c r="J10" s="25">
        <v>12.91</v>
      </c>
      <c r="K10" s="25">
        <v>13.2</v>
      </c>
      <c r="L10" s="25">
        <v>15.12</v>
      </c>
      <c r="M10" s="25"/>
    </row>
    <row r="11" spans="1:13">
      <c r="A11" s="25">
        <v>4</v>
      </c>
      <c r="B11" s="25" t="s">
        <v>1012</v>
      </c>
      <c r="C11" s="61">
        <v>184</v>
      </c>
      <c r="D11" s="61">
        <v>56</v>
      </c>
      <c r="E11" s="61">
        <v>721</v>
      </c>
      <c r="F11" s="61">
        <v>767</v>
      </c>
      <c r="G11" s="25">
        <v>228.57</v>
      </c>
      <c r="H11" s="25">
        <v>-6</v>
      </c>
      <c r="I11" s="25">
        <v>3.24</v>
      </c>
      <c r="J11" s="25">
        <v>12.7</v>
      </c>
      <c r="K11" s="25">
        <v>12.12</v>
      </c>
      <c r="L11" s="25">
        <v>25.05</v>
      </c>
      <c r="M11" s="25"/>
    </row>
    <row r="12" spans="1:13">
      <c r="A12" s="25">
        <v>5</v>
      </c>
      <c r="B12" s="25" t="s">
        <v>623</v>
      </c>
      <c r="C12" s="61">
        <v>99</v>
      </c>
      <c r="D12" s="61">
        <v>54</v>
      </c>
      <c r="E12" s="61">
        <v>542</v>
      </c>
      <c r="F12" s="61">
        <v>121</v>
      </c>
      <c r="G12" s="25">
        <v>83.33</v>
      </c>
      <c r="H12" s="25">
        <v>347.93</v>
      </c>
      <c r="I12" s="25">
        <v>1.74</v>
      </c>
      <c r="J12" s="25">
        <v>9.5500000000000007</v>
      </c>
      <c r="K12" s="25">
        <v>11.69</v>
      </c>
      <c r="L12" s="25">
        <v>3.95</v>
      </c>
      <c r="M12" s="25"/>
    </row>
    <row r="13" spans="1:13">
      <c r="A13" s="25">
        <v>6</v>
      </c>
      <c r="B13" s="25" t="s">
        <v>648</v>
      </c>
      <c r="C13" s="61">
        <v>40</v>
      </c>
      <c r="D13" s="61">
        <v>77</v>
      </c>
      <c r="E13" s="61">
        <v>342</v>
      </c>
      <c r="F13" s="61">
        <v>328</v>
      </c>
      <c r="G13" s="25">
        <v>-48.05</v>
      </c>
      <c r="H13" s="25">
        <v>4.2699999999999996</v>
      </c>
      <c r="I13" s="25">
        <v>0.7</v>
      </c>
      <c r="J13" s="25">
        <v>6.03</v>
      </c>
      <c r="K13" s="25">
        <v>16.670000000000002</v>
      </c>
      <c r="L13" s="25">
        <v>10.71</v>
      </c>
      <c r="M13" s="25"/>
    </row>
    <row r="14" spans="1:13">
      <c r="A14" s="25">
        <v>7</v>
      </c>
      <c r="B14" s="25" t="s">
        <v>654</v>
      </c>
      <c r="C14" s="61">
        <v>27</v>
      </c>
      <c r="D14" s="61">
        <v>50</v>
      </c>
      <c r="E14" s="61">
        <v>313</v>
      </c>
      <c r="F14" s="61">
        <v>303</v>
      </c>
      <c r="G14" s="25">
        <v>-46</v>
      </c>
      <c r="H14" s="25">
        <v>3.3</v>
      </c>
      <c r="I14" s="25">
        <v>0.48</v>
      </c>
      <c r="J14" s="25">
        <v>5.51</v>
      </c>
      <c r="K14" s="25">
        <v>10.82</v>
      </c>
      <c r="L14" s="25">
        <v>9.9</v>
      </c>
      <c r="M14" s="25"/>
    </row>
    <row r="15" spans="1:13">
      <c r="A15" s="25">
        <v>8</v>
      </c>
      <c r="B15" s="25" t="s">
        <v>655</v>
      </c>
      <c r="C15" s="61">
        <v>57</v>
      </c>
      <c r="D15" s="61">
        <v>10</v>
      </c>
      <c r="E15" s="61">
        <v>244</v>
      </c>
      <c r="F15" s="61">
        <v>46</v>
      </c>
      <c r="G15" s="60">
        <v>470</v>
      </c>
      <c r="H15" s="60">
        <v>430.43</v>
      </c>
      <c r="I15" s="25">
        <v>1</v>
      </c>
      <c r="J15" s="25">
        <v>4.3</v>
      </c>
      <c r="K15" s="25">
        <v>2.16</v>
      </c>
      <c r="L15" s="25">
        <v>1.5</v>
      </c>
      <c r="M15" s="25"/>
    </row>
    <row r="16" spans="1:13">
      <c r="A16" s="25">
        <v>9</v>
      </c>
      <c r="B16" s="25" t="s">
        <v>158</v>
      </c>
      <c r="C16" s="61">
        <v>67</v>
      </c>
      <c r="D16" s="61">
        <v>14</v>
      </c>
      <c r="E16" s="61">
        <v>177</v>
      </c>
      <c r="F16" s="61">
        <v>39</v>
      </c>
      <c r="G16" s="25">
        <v>378.57</v>
      </c>
      <c r="H16" s="25">
        <v>353.85</v>
      </c>
      <c r="I16" s="25">
        <v>1.18</v>
      </c>
      <c r="J16" s="25">
        <v>3.12</v>
      </c>
      <c r="K16" s="25">
        <v>3.03</v>
      </c>
      <c r="L16" s="25">
        <v>1.27</v>
      </c>
      <c r="M16" s="25"/>
    </row>
    <row r="17" spans="1:13">
      <c r="A17" s="25">
        <v>10</v>
      </c>
      <c r="B17" s="25" t="s">
        <v>424</v>
      </c>
      <c r="C17" s="61">
        <v>37</v>
      </c>
      <c r="D17" s="61">
        <v>12</v>
      </c>
      <c r="E17" s="61">
        <v>145</v>
      </c>
      <c r="F17" s="61">
        <v>104</v>
      </c>
      <c r="G17" s="77">
        <v>208.33</v>
      </c>
      <c r="H17" s="77">
        <v>39.42</v>
      </c>
      <c r="I17" s="25">
        <v>0.65</v>
      </c>
      <c r="J17" s="25">
        <v>2.5499999999999998</v>
      </c>
      <c r="K17" s="25">
        <v>2.6</v>
      </c>
      <c r="L17" s="25">
        <v>3.4</v>
      </c>
      <c r="M17" s="25"/>
    </row>
    <row r="18" spans="1:13">
      <c r="A18" s="25">
        <v>11</v>
      </c>
      <c r="B18" s="25" t="s">
        <v>622</v>
      </c>
      <c r="C18" s="61">
        <v>6</v>
      </c>
      <c r="D18" s="61">
        <v>4</v>
      </c>
      <c r="E18" s="61">
        <v>133</v>
      </c>
      <c r="F18" s="61">
        <v>59</v>
      </c>
      <c r="G18" s="60">
        <v>50</v>
      </c>
      <c r="H18" s="60">
        <v>125.42</v>
      </c>
      <c r="I18" s="25">
        <v>0.11</v>
      </c>
      <c r="J18" s="25">
        <v>2.34</v>
      </c>
      <c r="K18" s="25">
        <v>0.87</v>
      </c>
      <c r="L18" s="25">
        <v>1.93</v>
      </c>
      <c r="M18" s="25"/>
    </row>
    <row r="19" spans="1:13">
      <c r="A19" s="25">
        <v>12</v>
      </c>
      <c r="B19" s="25" t="s">
        <v>1226</v>
      </c>
      <c r="C19" s="61">
        <v>71</v>
      </c>
      <c r="D19" s="61">
        <v>0</v>
      </c>
      <c r="E19" s="61">
        <v>132</v>
      </c>
      <c r="F19" s="61">
        <v>0</v>
      </c>
      <c r="G19" s="25">
        <v>0</v>
      </c>
      <c r="H19" s="25">
        <v>0</v>
      </c>
      <c r="I19" s="25">
        <v>1.25</v>
      </c>
      <c r="J19" s="25">
        <v>2.33</v>
      </c>
      <c r="K19" s="25">
        <v>0</v>
      </c>
      <c r="L19" s="25">
        <v>0</v>
      </c>
      <c r="M19" s="25"/>
    </row>
    <row r="20" spans="1:13">
      <c r="A20" s="25">
        <v>13</v>
      </c>
      <c r="B20" s="25" t="s">
        <v>703</v>
      </c>
      <c r="C20" s="61">
        <v>28</v>
      </c>
      <c r="D20" s="61">
        <v>0</v>
      </c>
      <c r="E20" s="61">
        <v>122</v>
      </c>
      <c r="F20" s="61">
        <v>0</v>
      </c>
      <c r="G20" s="25">
        <v>0</v>
      </c>
      <c r="H20" s="25">
        <v>0</v>
      </c>
      <c r="I20" s="25">
        <v>0.49</v>
      </c>
      <c r="J20" s="25">
        <v>2.15</v>
      </c>
      <c r="K20" s="25">
        <v>0</v>
      </c>
      <c r="L20" s="25">
        <v>0</v>
      </c>
      <c r="M20" s="25"/>
    </row>
    <row r="21" spans="1:13">
      <c r="A21" s="25">
        <v>14</v>
      </c>
      <c r="B21" s="25" t="s">
        <v>1065</v>
      </c>
      <c r="C21" s="61">
        <v>1</v>
      </c>
      <c r="D21" s="61">
        <v>0</v>
      </c>
      <c r="E21" s="61">
        <v>91</v>
      </c>
      <c r="F21" s="61">
        <v>0</v>
      </c>
      <c r="G21" s="25">
        <v>0</v>
      </c>
      <c r="H21" s="25">
        <v>0</v>
      </c>
      <c r="I21" s="25">
        <v>0.02</v>
      </c>
      <c r="J21" s="25">
        <v>1.6</v>
      </c>
      <c r="K21" s="25">
        <v>0</v>
      </c>
      <c r="L21" s="25">
        <v>0</v>
      </c>
      <c r="M21" s="25"/>
    </row>
    <row r="22" spans="1:13">
      <c r="A22" s="25">
        <v>15</v>
      </c>
      <c r="B22" s="25" t="s">
        <v>437</v>
      </c>
      <c r="C22" s="61">
        <v>15</v>
      </c>
      <c r="D22" s="61">
        <v>6</v>
      </c>
      <c r="E22" s="61">
        <v>90</v>
      </c>
      <c r="F22" s="61">
        <v>82</v>
      </c>
      <c r="G22" s="25">
        <v>150</v>
      </c>
      <c r="H22" s="25">
        <v>9.76</v>
      </c>
      <c r="I22" s="25">
        <v>0.26</v>
      </c>
      <c r="J22" s="25">
        <v>1.59</v>
      </c>
      <c r="K22" s="25">
        <v>1.3</v>
      </c>
      <c r="L22" s="25">
        <v>2.68</v>
      </c>
      <c r="M22" s="25"/>
    </row>
    <row r="23" spans="1:13">
      <c r="A23" s="25">
        <v>16</v>
      </c>
      <c r="B23" s="25" t="s">
        <v>983</v>
      </c>
      <c r="C23" s="61">
        <v>8</v>
      </c>
      <c r="D23" s="61">
        <v>4</v>
      </c>
      <c r="E23" s="61">
        <v>71</v>
      </c>
      <c r="F23" s="61">
        <v>57</v>
      </c>
      <c r="G23" s="25">
        <v>100</v>
      </c>
      <c r="H23" s="25">
        <v>24.56</v>
      </c>
      <c r="I23" s="25">
        <v>0.14000000000000001</v>
      </c>
      <c r="J23" s="25">
        <v>1.25</v>
      </c>
      <c r="K23" s="25">
        <v>0.87</v>
      </c>
      <c r="L23" s="25">
        <v>1.86</v>
      </c>
      <c r="M23" s="25"/>
    </row>
    <row r="24" spans="1:13">
      <c r="A24" s="25">
        <v>17</v>
      </c>
      <c r="B24" s="25" t="s">
        <v>1040</v>
      </c>
      <c r="C24" s="61">
        <v>6</v>
      </c>
      <c r="D24" s="61">
        <v>0</v>
      </c>
      <c r="E24" s="61">
        <v>57</v>
      </c>
      <c r="F24" s="61">
        <v>0</v>
      </c>
      <c r="G24" s="25">
        <v>0</v>
      </c>
      <c r="H24" s="25">
        <v>0</v>
      </c>
      <c r="I24" s="25">
        <v>0.11</v>
      </c>
      <c r="J24" s="25">
        <v>1</v>
      </c>
      <c r="K24" s="25">
        <v>0</v>
      </c>
      <c r="L24" s="25">
        <v>0</v>
      </c>
      <c r="M24" s="25"/>
    </row>
    <row r="25" spans="1:13">
      <c r="A25" s="25">
        <v>18</v>
      </c>
      <c r="B25" s="25" t="s">
        <v>647</v>
      </c>
      <c r="C25" s="61">
        <v>9</v>
      </c>
      <c r="D25" s="61">
        <v>14</v>
      </c>
      <c r="E25" s="61">
        <v>48</v>
      </c>
      <c r="F25" s="61">
        <v>124</v>
      </c>
      <c r="G25" s="25">
        <v>-35.71</v>
      </c>
      <c r="H25" s="25">
        <v>-61.29</v>
      </c>
      <c r="I25" s="25">
        <v>0.16</v>
      </c>
      <c r="J25" s="25">
        <v>0.85</v>
      </c>
      <c r="K25" s="25">
        <v>3.03</v>
      </c>
      <c r="L25" s="25">
        <v>4.05</v>
      </c>
      <c r="M25" s="25"/>
    </row>
    <row r="26" spans="1:13">
      <c r="A26" s="25">
        <v>19</v>
      </c>
      <c r="B26" s="25" t="s">
        <v>990</v>
      </c>
      <c r="C26" s="61">
        <v>15</v>
      </c>
      <c r="D26" s="61">
        <v>1</v>
      </c>
      <c r="E26" s="61">
        <v>40</v>
      </c>
      <c r="F26" s="61">
        <v>3</v>
      </c>
      <c r="G26" s="25">
        <v>1400</v>
      </c>
      <c r="H26" s="25">
        <v>1233.33</v>
      </c>
      <c r="I26" s="25">
        <v>0.26</v>
      </c>
      <c r="J26" s="25">
        <v>0.7</v>
      </c>
      <c r="K26" s="25">
        <v>0.22</v>
      </c>
      <c r="L26" s="25">
        <v>0.1</v>
      </c>
      <c r="M26" s="25"/>
    </row>
    <row r="27" spans="1:13">
      <c r="A27" s="25">
        <v>20</v>
      </c>
      <c r="B27" s="25" t="s">
        <v>1189</v>
      </c>
      <c r="C27" s="61">
        <v>5</v>
      </c>
      <c r="D27" s="61">
        <v>0</v>
      </c>
      <c r="E27" s="61">
        <v>16</v>
      </c>
      <c r="F27" s="61">
        <v>0</v>
      </c>
      <c r="G27" s="25">
        <v>0</v>
      </c>
      <c r="H27" s="25">
        <v>0</v>
      </c>
      <c r="I27" s="25">
        <v>0.09</v>
      </c>
      <c r="J27" s="25">
        <v>0.28000000000000003</v>
      </c>
      <c r="K27" s="25">
        <v>0</v>
      </c>
      <c r="L27" s="25">
        <v>0</v>
      </c>
      <c r="M27" s="25"/>
    </row>
    <row r="28" spans="1:13">
      <c r="A28" s="145">
        <v>21</v>
      </c>
      <c r="B28" s="145" t="s">
        <v>625</v>
      </c>
      <c r="C28" s="146">
        <v>7</v>
      </c>
      <c r="D28" s="146">
        <v>0</v>
      </c>
      <c r="E28" s="146">
        <v>13</v>
      </c>
      <c r="F28" s="146">
        <v>9</v>
      </c>
      <c r="G28" s="145">
        <v>0</v>
      </c>
      <c r="H28" s="145">
        <v>44.44</v>
      </c>
      <c r="I28" s="145">
        <v>0.12</v>
      </c>
      <c r="J28" s="145">
        <v>0.23</v>
      </c>
      <c r="K28" s="145">
        <v>0</v>
      </c>
      <c r="L28" s="145">
        <v>0.28999999999999998</v>
      </c>
      <c r="M28" s="25"/>
    </row>
    <row r="29" spans="1:13">
      <c r="A29" s="145">
        <v>22</v>
      </c>
      <c r="B29" s="145" t="s">
        <v>1105</v>
      </c>
      <c r="C29" s="146">
        <v>0</v>
      </c>
      <c r="D29" s="146">
        <v>0</v>
      </c>
      <c r="E29" s="146">
        <v>3</v>
      </c>
      <c r="F29" s="146">
        <v>8</v>
      </c>
      <c r="G29" s="145">
        <v>0</v>
      </c>
      <c r="H29" s="145">
        <v>-62.5</v>
      </c>
      <c r="I29" s="145">
        <v>0</v>
      </c>
      <c r="J29" s="145">
        <v>0.05</v>
      </c>
      <c r="K29" s="145">
        <v>0</v>
      </c>
      <c r="L29" s="145">
        <v>0.26</v>
      </c>
      <c r="M29" s="25"/>
    </row>
    <row r="30" spans="1:13">
      <c r="A30" s="145">
        <v>23</v>
      </c>
      <c r="B30" s="145" t="s">
        <v>1138</v>
      </c>
      <c r="C30" s="146">
        <v>0</v>
      </c>
      <c r="D30" s="146">
        <v>0</v>
      </c>
      <c r="E30" s="146">
        <v>2</v>
      </c>
      <c r="F30" s="146">
        <v>0</v>
      </c>
      <c r="G30" s="145">
        <v>0</v>
      </c>
      <c r="H30" s="145">
        <v>0</v>
      </c>
      <c r="I30" s="145">
        <v>0</v>
      </c>
      <c r="J30" s="145">
        <v>0.04</v>
      </c>
      <c r="K30" s="145">
        <v>0</v>
      </c>
      <c r="L30" s="145">
        <v>0</v>
      </c>
      <c r="M30" s="25"/>
    </row>
    <row r="31" spans="1:13">
      <c r="A31" s="145">
        <v>24</v>
      </c>
      <c r="B31" s="145" t="s">
        <v>624</v>
      </c>
      <c r="C31" s="146">
        <v>0</v>
      </c>
      <c r="D31" s="146">
        <v>0</v>
      </c>
      <c r="E31" s="146">
        <v>1</v>
      </c>
      <c r="F31" s="146">
        <v>18</v>
      </c>
      <c r="G31" s="145">
        <v>0</v>
      </c>
      <c r="H31" s="145">
        <v>-94.44</v>
      </c>
      <c r="I31" s="145">
        <v>0</v>
      </c>
      <c r="J31" s="145">
        <v>0.02</v>
      </c>
      <c r="K31" s="145">
        <v>0</v>
      </c>
      <c r="L31" s="145">
        <v>0.59</v>
      </c>
      <c r="M31" s="25"/>
    </row>
    <row r="32" spans="1:13">
      <c r="A32" s="145">
        <v>25</v>
      </c>
      <c r="B32" s="145" t="s">
        <v>236</v>
      </c>
      <c r="C32" s="146">
        <v>0</v>
      </c>
      <c r="D32" s="146">
        <v>0</v>
      </c>
      <c r="E32" s="146">
        <v>0</v>
      </c>
      <c r="F32" s="146">
        <v>63</v>
      </c>
      <c r="G32" s="150">
        <v>0</v>
      </c>
      <c r="H32" s="150">
        <v>-100</v>
      </c>
      <c r="I32" s="145">
        <v>0</v>
      </c>
      <c r="J32" s="145">
        <v>0</v>
      </c>
      <c r="K32" s="145">
        <v>0</v>
      </c>
      <c r="L32" s="145">
        <v>2.06</v>
      </c>
      <c r="M32" s="25"/>
    </row>
    <row r="33" spans="1:13">
      <c r="A33" s="145">
        <v>26</v>
      </c>
      <c r="B33" s="145" t="s">
        <v>621</v>
      </c>
      <c r="C33" s="146">
        <v>0</v>
      </c>
      <c r="D33" s="146">
        <v>1</v>
      </c>
      <c r="E33" s="146">
        <v>0</v>
      </c>
      <c r="F33" s="146">
        <v>13</v>
      </c>
      <c r="G33" s="145">
        <v>-100</v>
      </c>
      <c r="H33" s="145">
        <v>-100</v>
      </c>
      <c r="I33" s="145">
        <v>0</v>
      </c>
      <c r="J33" s="145">
        <v>0</v>
      </c>
      <c r="K33" s="145">
        <v>0.22</v>
      </c>
      <c r="L33" s="145">
        <v>0.42</v>
      </c>
      <c r="M33" s="25"/>
    </row>
    <row r="34" spans="1:13">
      <c r="A34" s="145">
        <v>27</v>
      </c>
      <c r="B34" s="145" t="s">
        <v>500</v>
      </c>
      <c r="C34" s="146">
        <v>0</v>
      </c>
      <c r="D34" s="146">
        <v>1</v>
      </c>
      <c r="E34" s="146">
        <v>0</v>
      </c>
      <c r="F34" s="146">
        <v>9</v>
      </c>
      <c r="G34" s="145">
        <v>-100</v>
      </c>
      <c r="H34" s="145">
        <v>-100</v>
      </c>
      <c r="I34" s="145">
        <v>0</v>
      </c>
      <c r="J34" s="145">
        <v>0</v>
      </c>
      <c r="K34" s="145">
        <v>0.22</v>
      </c>
      <c r="L34" s="145">
        <v>0.28999999999999998</v>
      </c>
    </row>
    <row r="35" spans="1:13">
      <c r="A35" s="145">
        <v>28</v>
      </c>
      <c r="B35" s="145" t="s">
        <v>1139</v>
      </c>
      <c r="C35" s="146">
        <v>0</v>
      </c>
      <c r="D35" s="146">
        <v>0</v>
      </c>
      <c r="E35" s="146">
        <v>0</v>
      </c>
      <c r="F35" s="146">
        <v>1</v>
      </c>
      <c r="G35" s="145">
        <v>0</v>
      </c>
      <c r="H35" s="145">
        <v>-100</v>
      </c>
      <c r="I35" s="145">
        <v>0</v>
      </c>
      <c r="J35" s="145">
        <v>0</v>
      </c>
      <c r="K35" s="145">
        <v>0</v>
      </c>
      <c r="L35" s="145">
        <v>0.03</v>
      </c>
    </row>
    <row r="36" spans="1:13">
      <c r="A36" s="145">
        <v>29</v>
      </c>
      <c r="B36" s="145" t="s">
        <v>436</v>
      </c>
      <c r="C36" s="146">
        <v>4</v>
      </c>
      <c r="D36" s="146">
        <v>7</v>
      </c>
      <c r="E36" s="146">
        <v>51</v>
      </c>
      <c r="F36" s="146">
        <v>64</v>
      </c>
      <c r="G36" s="145">
        <v>-42.86</v>
      </c>
      <c r="H36" s="145">
        <v>-20.309999999999999</v>
      </c>
      <c r="I36" s="145">
        <v>7.0000000000000007E-2</v>
      </c>
      <c r="J36" s="145">
        <v>0.9</v>
      </c>
      <c r="K36" s="145">
        <v>1.52</v>
      </c>
      <c r="L36" s="145">
        <v>2.09</v>
      </c>
    </row>
    <row r="37" spans="1:13">
      <c r="A37" s="145"/>
      <c r="B37" s="145" t="s">
        <v>454</v>
      </c>
      <c r="C37" s="146">
        <f>SUBTOTAL(109,Table_bdsql12_BDmodell_getAggModelsFuelTypeLB[antalPerioden])</f>
        <v>1113</v>
      </c>
      <c r="D37" s="146">
        <f>SUBTOTAL(109,Table_bdsql12_BDmodell_getAggModelsFuelTypeLB[antalFGPeriod])</f>
        <v>462</v>
      </c>
      <c r="E37" s="146">
        <f>SUBTOTAL(109,Table_bdsql12_BDmodell_getAggModelsFuelTypeLB[antalÅret])</f>
        <v>5676</v>
      </c>
      <c r="F37" s="146">
        <f>SUBTOTAL(109,Table_bdsql12_BDmodell_getAggModelsFuelTypeLB[antalFGAr])</f>
        <v>3062</v>
      </c>
      <c r="G37" s="150">
        <f>IF(Table_bdsql12_BDmodell_getAggModelsFuelTypeLB[[#Totals],[antalFGPeriod]] &gt; 0,(Table_bdsql12_BDmodell_getAggModelsFuelTypeLB[[#Totals],[antalPerioden]] - Table_bdsql12_BDmodell_getAggModelsFuelTypeLB[[#Totals],[antalFGPeriod]]) / Table_bdsql12_BDmodell_getAggModelsFuelTypeLB[[#Totals],[antalFGPeriod]] *100,0)</f>
        <v>140.90909090909091</v>
      </c>
      <c r="H37" s="150">
        <f>IF(Table_bdsql12_BDmodell_getAggModelsFuelTypeLB[[#Totals],[antalFGAr]] &gt; 0,(Table_bdsql12_BDmodell_getAggModelsFuelTypeLB[[#Totals],[antalÅret]] - Table_bdsql12_BDmodell_getAggModelsFuelTypeLB[[#Totals],[antalFGAr]]) / Table_bdsql12_BDmodell_getAggModelsFuelTypeLB[[#Totals],[antalFGAr]] * 100,0)</f>
        <v>85.369039843239719</v>
      </c>
      <c r="I37" s="149" t="str">
        <f>TEXT(100,"0,0")</f>
        <v>100,0</v>
      </c>
      <c r="J37" s="149" t="str">
        <f>TEXT(100,"0,0")</f>
        <v>100,0</v>
      </c>
      <c r="K37" s="149" t="str">
        <f>TEXT(100,"0,0")</f>
        <v>100,0</v>
      </c>
      <c r="L37" s="149" t="str">
        <f>TEXT(100,"0,0")</f>
        <v>100,0</v>
      </c>
    </row>
    <row r="38" spans="1:13">
      <c r="A38" s="25" t="s">
        <v>678</v>
      </c>
    </row>
  </sheetData>
  <mergeCells count="1">
    <mergeCell ref="H4:L4"/>
  </mergeCells>
  <conditionalFormatting sqref="H5">
    <cfRule type="cellIs" dxfId="1" priority="1" operator="lessThan">
      <formula>-20</formula>
    </cfRule>
    <cfRule type="cellIs" dxfId="0" priority="2" operator="greaterThan">
      <formula>20</formula>
    </cfRule>
  </conditionalFormatting>
  <dataValidations count="3">
    <dataValidation allowBlank="1" showInputMessage="1" showErrorMessage="1" prompt="förändring i marknads-andelen ackumulerat från årets början t.o.m den aktuella månaden." sqref="J6" xr:uid="{00000000-0002-0000-0F00-000000000000}"/>
    <dataValidation allowBlank="1" showInputMessage="1" showErrorMessage="1" prompt="visar antalet registreringar för den aktuella månaden i år." sqref="C6:F6" xr:uid="{00000000-0002-0000-0F00-000001000000}"/>
    <dataValidation allowBlank="1" showInputMessage="1" showErrorMessage="1" prompt="förändring i antalet registreringar ackumulerat från årets början t.o.m den aktuella månaden." sqref="H6" xr:uid="{00000000-0002-0000-0F00-000002000000}"/>
  </dataValidations>
  <pageMargins left="0.70866141732283472" right="0.70866141732283472" top="0.74803149606299213" bottom="0.74803149606299213" header="0.31496062992125984" footer="0.31496062992125984"/>
  <pageSetup paperSize="9" scale="97" fitToHeight="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3:X85"/>
  <sheetViews>
    <sheetView workbookViewId="0">
      <selection activeCell="R26" sqref="R26"/>
    </sheetView>
  </sheetViews>
  <sheetFormatPr baseColWidth="10" defaultColWidth="8.83203125" defaultRowHeight="15"/>
  <sheetData>
    <row r="3" spans="16:22" ht="19.25" customHeight="1" thickBot="1">
      <c r="P3" s="25"/>
      <c r="Q3" s="66" t="s">
        <v>1207</v>
      </c>
      <c r="R3" s="66"/>
      <c r="S3" s="66"/>
      <c r="T3" s="66"/>
      <c r="U3" s="66"/>
      <c r="V3" s="113"/>
    </row>
    <row r="4" spans="16:22">
      <c r="P4" s="25"/>
      <c r="Q4" s="25"/>
      <c r="R4" s="25"/>
      <c r="S4" s="25"/>
      <c r="T4" s="25"/>
      <c r="U4" s="25"/>
      <c r="V4" s="25"/>
    </row>
    <row r="5" spans="16:22" ht="16" thickBot="1">
      <c r="P5" s="25"/>
      <c r="Q5" s="19" t="s">
        <v>455</v>
      </c>
      <c r="R5" s="24">
        <v>2021</v>
      </c>
      <c r="S5" s="24">
        <v>2022</v>
      </c>
      <c r="T5" s="24">
        <v>2023</v>
      </c>
      <c r="U5" s="25"/>
      <c r="V5" s="25"/>
    </row>
    <row r="6" spans="16:22">
      <c r="P6" s="25"/>
      <c r="Q6" s="16" t="s">
        <v>2</v>
      </c>
      <c r="R6" s="25">
        <v>386</v>
      </c>
      <c r="S6" s="25">
        <v>289</v>
      </c>
      <c r="T6" s="25">
        <v>455</v>
      </c>
      <c r="V6" s="25"/>
    </row>
    <row r="7" spans="16:22">
      <c r="P7" s="25"/>
      <c r="Q7" s="16" t="s">
        <v>3</v>
      </c>
      <c r="R7" s="25">
        <v>465</v>
      </c>
      <c r="S7" s="25">
        <v>356</v>
      </c>
      <c r="T7" s="25">
        <v>511</v>
      </c>
      <c r="V7" s="25"/>
    </row>
    <row r="8" spans="16:22">
      <c r="P8" s="25"/>
      <c r="Q8" s="16" t="s">
        <v>4</v>
      </c>
      <c r="R8" s="25">
        <v>521</v>
      </c>
      <c r="S8" s="25">
        <v>491</v>
      </c>
      <c r="T8" s="25">
        <v>636</v>
      </c>
      <c r="V8" s="25"/>
    </row>
    <row r="9" spans="16:22">
      <c r="P9" s="25"/>
      <c r="Q9" s="16" t="s">
        <v>5</v>
      </c>
      <c r="R9" s="25">
        <v>526</v>
      </c>
      <c r="S9" s="25">
        <v>478</v>
      </c>
      <c r="T9" s="25">
        <v>514</v>
      </c>
      <c r="V9" s="25"/>
    </row>
    <row r="10" spans="16:22">
      <c r="P10" s="25"/>
      <c r="Q10" s="16" t="s">
        <v>6</v>
      </c>
      <c r="R10" s="25">
        <v>491</v>
      </c>
      <c r="S10" s="25">
        <v>510</v>
      </c>
      <c r="T10" s="25">
        <v>638</v>
      </c>
      <c r="V10" s="25"/>
    </row>
    <row r="11" spans="16:22">
      <c r="P11" s="25"/>
      <c r="Q11" s="16" t="s">
        <v>7</v>
      </c>
      <c r="R11" s="25">
        <v>504</v>
      </c>
      <c r="S11" s="25">
        <v>498</v>
      </c>
      <c r="T11" s="25">
        <v>587</v>
      </c>
      <c r="V11" s="25"/>
    </row>
    <row r="12" spans="16:22">
      <c r="P12" s="25"/>
      <c r="Q12" s="16" t="s">
        <v>8</v>
      </c>
      <c r="R12" s="25">
        <v>292</v>
      </c>
      <c r="S12" s="25">
        <v>227</v>
      </c>
      <c r="T12" s="25">
        <v>266</v>
      </c>
      <c r="U12" s="25"/>
      <c r="V12" s="25"/>
    </row>
    <row r="13" spans="16:22">
      <c r="P13" s="25"/>
      <c r="Q13" s="16" t="s">
        <v>9</v>
      </c>
      <c r="R13" s="25">
        <v>370</v>
      </c>
      <c r="S13" s="25">
        <v>399</v>
      </c>
      <c r="T13" s="25">
        <v>1563</v>
      </c>
      <c r="U13" s="25"/>
      <c r="V13" s="25"/>
    </row>
    <row r="14" spans="16:22">
      <c r="P14" s="25"/>
      <c r="Q14" s="16" t="s">
        <v>10</v>
      </c>
      <c r="R14" s="25">
        <v>408</v>
      </c>
      <c r="S14" s="25">
        <v>543</v>
      </c>
      <c r="T14" s="25">
        <v>215</v>
      </c>
      <c r="U14" s="25"/>
      <c r="V14" s="25"/>
    </row>
    <row r="15" spans="16:22">
      <c r="P15" s="25"/>
      <c r="Q15" s="16" t="s">
        <v>11</v>
      </c>
      <c r="R15" s="25">
        <v>409</v>
      </c>
      <c r="S15" s="25">
        <v>508</v>
      </c>
      <c r="T15" s="25"/>
      <c r="U15" s="25"/>
      <c r="V15" s="25"/>
    </row>
    <row r="16" spans="16:22">
      <c r="P16" s="25"/>
      <c r="Q16" s="16" t="s">
        <v>12</v>
      </c>
      <c r="R16" s="25">
        <v>390</v>
      </c>
      <c r="S16" s="25">
        <v>575</v>
      </c>
      <c r="T16" s="25"/>
      <c r="U16" s="25"/>
      <c r="V16" s="25"/>
    </row>
    <row r="17" spans="16:22">
      <c r="P17" s="25"/>
      <c r="Q17" s="26" t="s">
        <v>13</v>
      </c>
      <c r="R17" s="27">
        <v>541</v>
      </c>
      <c r="S17" s="27">
        <v>618</v>
      </c>
      <c r="T17" s="27"/>
      <c r="U17" s="25"/>
      <c r="V17" s="25"/>
    </row>
    <row r="18" spans="16:22">
      <c r="P18" s="25"/>
      <c r="Q18" s="20" t="s">
        <v>534</v>
      </c>
      <c r="R18" s="61">
        <f>SUMIF(T6:T17,"&gt;0",R6:R17)</f>
        <v>3963</v>
      </c>
      <c r="S18" s="61">
        <f>SUMIF(T6:T17,"&gt;0",S6:S17)</f>
        <v>3791</v>
      </c>
      <c r="T18" s="61">
        <f>SUM(T6:T17)</f>
        <v>5385</v>
      </c>
      <c r="U18" s="61"/>
      <c r="V18" s="25"/>
    </row>
    <row r="19" spans="16:22">
      <c r="P19" s="25"/>
      <c r="Q19" s="21" t="s">
        <v>533</v>
      </c>
      <c r="R19" s="61">
        <f>SUM(R6:R17)</f>
        <v>5303</v>
      </c>
      <c r="S19" s="61">
        <f>SUM(S6:S17)</f>
        <v>5492</v>
      </c>
      <c r="T19" s="61"/>
      <c r="U19" s="25"/>
      <c r="V19" s="25"/>
    </row>
    <row r="20" spans="16:22">
      <c r="P20" s="25"/>
      <c r="Q20" s="25"/>
      <c r="R20" s="25"/>
      <c r="S20" s="25"/>
      <c r="T20" s="25"/>
      <c r="U20" s="25"/>
      <c r="V20" s="25"/>
    </row>
    <row r="21" spans="16:22">
      <c r="P21" s="25"/>
      <c r="Q21" s="25"/>
      <c r="R21" s="25"/>
      <c r="S21" s="25"/>
      <c r="T21" s="25"/>
      <c r="U21" s="25"/>
      <c r="V21" s="25"/>
    </row>
    <row r="22" spans="16:22">
      <c r="P22" s="25"/>
      <c r="Q22" s="25"/>
      <c r="R22" s="25"/>
      <c r="S22" s="25"/>
      <c r="T22" s="25"/>
      <c r="U22" s="25"/>
      <c r="V22" s="25"/>
    </row>
    <row r="23" spans="16:22">
      <c r="P23" s="25"/>
      <c r="Q23" s="63" t="s">
        <v>452</v>
      </c>
      <c r="R23" s="25"/>
      <c r="S23" s="25"/>
      <c r="T23" s="25"/>
      <c r="U23" s="25"/>
      <c r="V23" s="25"/>
    </row>
    <row r="24" spans="16:22">
      <c r="P24" s="25"/>
      <c r="Q24" s="25"/>
      <c r="R24" s="25"/>
      <c r="S24" s="25"/>
      <c r="T24" s="25"/>
      <c r="U24" s="25"/>
      <c r="V24" s="25"/>
    </row>
    <row r="25" spans="16:22">
      <c r="P25" s="25"/>
      <c r="Q25" s="25"/>
      <c r="R25" s="25"/>
      <c r="S25" s="25"/>
      <c r="T25" s="25"/>
      <c r="U25" s="25"/>
      <c r="V25" s="25"/>
    </row>
    <row r="35" spans="16:24" ht="19.25" customHeight="1" thickBot="1">
      <c r="P35" s="25"/>
      <c r="Q35" s="66" t="s">
        <v>1208</v>
      </c>
      <c r="R35" s="66"/>
      <c r="S35" s="66"/>
      <c r="T35" s="66"/>
      <c r="U35" s="66"/>
      <c r="V35" s="66"/>
      <c r="W35" s="66"/>
      <c r="X35" s="113"/>
    </row>
    <row r="36" spans="16:24">
      <c r="P36" s="25"/>
      <c r="Q36" s="25"/>
      <c r="R36" s="25"/>
      <c r="S36" s="25"/>
      <c r="T36" s="25"/>
      <c r="U36" s="25"/>
      <c r="V36" s="25"/>
      <c r="W36" s="25"/>
      <c r="X36" s="25"/>
    </row>
    <row r="37" spans="16:24">
      <c r="P37" s="25"/>
      <c r="Q37" s="90" t="s">
        <v>438</v>
      </c>
      <c r="R37" s="58">
        <v>-8.0952380952380949</v>
      </c>
      <c r="S37" s="25"/>
      <c r="T37" s="25"/>
      <c r="U37" s="25"/>
      <c r="V37" s="25"/>
      <c r="W37" s="25"/>
      <c r="X37" s="25"/>
    </row>
    <row r="38" spans="16:24">
      <c r="P38" s="25"/>
      <c r="Q38" s="88" t="s">
        <v>501</v>
      </c>
      <c r="R38" s="58">
        <v>10.189573459715639</v>
      </c>
      <c r="S38" s="25"/>
      <c r="T38" s="25"/>
      <c r="U38" s="25"/>
      <c r="V38" s="25"/>
      <c r="W38" s="25"/>
      <c r="X38" s="25"/>
    </row>
    <row r="39" spans="16:24">
      <c r="P39" s="25"/>
      <c r="Q39" s="88" t="s">
        <v>561</v>
      </c>
      <c r="R39" s="58">
        <v>3.373015873015873</v>
      </c>
      <c r="S39" s="25"/>
      <c r="T39" s="25"/>
      <c r="U39" s="25"/>
      <c r="V39" s="25"/>
      <c r="W39" s="25"/>
      <c r="X39" s="25"/>
    </row>
    <row r="40" spans="16:24">
      <c r="P40" s="25"/>
      <c r="Q40" s="88" t="s">
        <v>576</v>
      </c>
      <c r="R40" s="58">
        <v>16.62971175166297</v>
      </c>
      <c r="S40" s="25"/>
      <c r="T40" s="25"/>
      <c r="U40" s="25"/>
      <c r="V40" s="25"/>
      <c r="W40" s="25"/>
      <c r="X40" s="25"/>
    </row>
    <row r="41" spans="16:24">
      <c r="P41" s="25"/>
      <c r="Q41" s="88" t="s">
        <v>590</v>
      </c>
      <c r="R41" s="58">
        <v>29.210526315789476</v>
      </c>
      <c r="S41" s="25"/>
      <c r="T41" s="25"/>
      <c r="U41" s="25"/>
      <c r="V41" s="25"/>
      <c r="W41" s="25"/>
      <c r="X41" s="25"/>
    </row>
    <row r="42" spans="16:24">
      <c r="P42" s="25"/>
      <c r="Q42" s="88" t="s">
        <v>597</v>
      </c>
      <c r="R42" s="58">
        <v>36.95652173913043</v>
      </c>
      <c r="S42" s="25"/>
      <c r="T42" s="25"/>
      <c r="U42" s="25"/>
      <c r="V42" s="25"/>
      <c r="W42" s="25"/>
      <c r="X42" s="25"/>
    </row>
    <row r="43" spans="16:24">
      <c r="P43" s="25"/>
      <c r="Q43" s="88" t="s">
        <v>602</v>
      </c>
      <c r="R43" s="58">
        <v>18.699186991869919</v>
      </c>
      <c r="S43" s="25"/>
      <c r="T43" s="25"/>
      <c r="U43" s="25"/>
      <c r="V43" s="25"/>
      <c r="W43" s="25"/>
      <c r="X43" s="25"/>
    </row>
    <row r="44" spans="16:24">
      <c r="P44" s="25"/>
      <c r="Q44" s="88" t="s">
        <v>604</v>
      </c>
      <c r="R44" s="58">
        <v>13.846153846153847</v>
      </c>
      <c r="S44" s="25"/>
      <c r="T44" s="25"/>
      <c r="U44" s="25"/>
      <c r="V44" s="25"/>
      <c r="W44" s="25"/>
      <c r="X44" s="25"/>
    </row>
    <row r="45" spans="16:24">
      <c r="P45" s="25"/>
      <c r="Q45" s="88" t="s">
        <v>612</v>
      </c>
      <c r="R45" s="58">
        <v>-9.7345132743362832</v>
      </c>
      <c r="S45" s="25"/>
      <c r="T45" s="25"/>
      <c r="U45" s="25"/>
      <c r="V45" s="25"/>
      <c r="W45" s="25"/>
      <c r="X45" s="25"/>
    </row>
    <row r="46" spans="16:24">
      <c r="P46" s="25"/>
      <c r="Q46" s="88" t="s">
        <v>631</v>
      </c>
      <c r="R46" s="58">
        <v>-13.71308016877637</v>
      </c>
      <c r="S46" s="25"/>
      <c r="T46" s="25"/>
      <c r="U46" s="25"/>
      <c r="V46" s="25"/>
      <c r="W46" s="25"/>
      <c r="X46" s="25"/>
    </row>
    <row r="47" spans="16:24">
      <c r="P47" s="25"/>
      <c r="Q47" s="88" t="s">
        <v>640</v>
      </c>
      <c r="R47" s="58">
        <v>-19.753086419753085</v>
      </c>
      <c r="S47" s="25"/>
      <c r="T47" s="25"/>
      <c r="U47" s="25"/>
      <c r="V47" s="25"/>
      <c r="W47" s="25"/>
      <c r="X47" s="25"/>
    </row>
    <row r="48" spans="16:24">
      <c r="P48" s="25"/>
      <c r="Q48" s="88" t="s">
        <v>649</v>
      </c>
      <c r="R48" s="58">
        <v>25.231481481481481</v>
      </c>
      <c r="S48" s="25"/>
      <c r="T48" s="25"/>
      <c r="U48" s="25"/>
      <c r="V48" s="25"/>
      <c r="W48" s="25"/>
      <c r="X48" s="25"/>
    </row>
    <row r="49" spans="16:24">
      <c r="P49" s="25"/>
      <c r="Q49" s="88" t="s">
        <v>658</v>
      </c>
      <c r="R49" s="58">
        <f t="shared" ref="R49:R60" si="0">((S6-R6)/R6)*100</f>
        <v>-25.129533678756477</v>
      </c>
      <c r="S49" s="25"/>
      <c r="T49" s="25"/>
      <c r="U49" s="25"/>
      <c r="V49" s="25"/>
      <c r="W49" s="25"/>
      <c r="X49" s="25"/>
    </row>
    <row r="50" spans="16:24">
      <c r="P50" s="25"/>
      <c r="Q50" s="88" t="s">
        <v>673</v>
      </c>
      <c r="R50" s="58">
        <f t="shared" si="0"/>
        <v>-23.440860215053764</v>
      </c>
      <c r="S50" s="25"/>
      <c r="T50" s="25"/>
      <c r="U50" s="25"/>
      <c r="V50" s="25"/>
      <c r="W50" s="25"/>
      <c r="X50" s="25"/>
    </row>
    <row r="51" spans="16:24">
      <c r="P51" s="25"/>
      <c r="Q51" s="88" t="s">
        <v>691</v>
      </c>
      <c r="R51" s="58">
        <f t="shared" si="0"/>
        <v>-5.7581573896353166</v>
      </c>
      <c r="S51" s="25"/>
      <c r="T51" s="25"/>
      <c r="U51" s="25"/>
      <c r="V51" s="25"/>
      <c r="W51" s="25"/>
      <c r="X51" s="25"/>
    </row>
    <row r="52" spans="16:24">
      <c r="P52" s="25"/>
      <c r="Q52" s="88" t="s">
        <v>700</v>
      </c>
      <c r="R52" s="58">
        <f t="shared" si="0"/>
        <v>-9.1254752851711025</v>
      </c>
      <c r="S52" s="25"/>
      <c r="T52" s="25"/>
      <c r="U52" s="25"/>
      <c r="V52" s="25"/>
      <c r="W52" s="25"/>
      <c r="X52" s="25"/>
    </row>
    <row r="53" spans="16:24">
      <c r="P53" s="25"/>
      <c r="Q53" s="88" t="s">
        <v>706</v>
      </c>
      <c r="R53" s="58">
        <f t="shared" si="0"/>
        <v>3.8696537678207736</v>
      </c>
      <c r="S53" s="25"/>
      <c r="T53" s="25"/>
      <c r="U53" s="25"/>
      <c r="V53" s="25"/>
      <c r="W53" s="25"/>
      <c r="X53" s="25"/>
    </row>
    <row r="54" spans="16:24">
      <c r="P54" s="25"/>
      <c r="Q54" s="88" t="s">
        <v>709</v>
      </c>
      <c r="R54" s="58">
        <f t="shared" si="0"/>
        <v>-1.1904761904761905</v>
      </c>
      <c r="S54" s="25"/>
      <c r="T54" s="25"/>
      <c r="U54" s="25"/>
      <c r="V54" s="25"/>
      <c r="W54" s="25"/>
      <c r="X54" s="25"/>
    </row>
    <row r="55" spans="16:24">
      <c r="P55" s="25"/>
      <c r="Q55" s="88" t="s">
        <v>984</v>
      </c>
      <c r="R55" s="58">
        <f t="shared" si="0"/>
        <v>-22.260273972602739</v>
      </c>
      <c r="S55" s="25"/>
      <c r="T55" s="25"/>
      <c r="U55" s="25"/>
      <c r="V55" s="25"/>
      <c r="W55" s="25"/>
      <c r="X55" s="25"/>
    </row>
    <row r="56" spans="16:24">
      <c r="P56" s="25"/>
      <c r="Q56" s="88" t="s">
        <v>991</v>
      </c>
      <c r="R56" s="58">
        <f t="shared" si="0"/>
        <v>7.8378378378378386</v>
      </c>
      <c r="S56" s="25"/>
      <c r="T56" s="25"/>
      <c r="U56" s="25"/>
      <c r="V56" s="25"/>
      <c r="W56" s="25"/>
      <c r="X56" s="25"/>
    </row>
    <row r="57" spans="16:24">
      <c r="P57" s="25"/>
      <c r="Q57" s="88" t="s">
        <v>1005</v>
      </c>
      <c r="R57" s="58">
        <f t="shared" si="0"/>
        <v>33.088235294117645</v>
      </c>
      <c r="S57" s="25"/>
      <c r="T57" s="25"/>
      <c r="U57" s="25"/>
      <c r="V57" s="25"/>
      <c r="W57" s="25"/>
      <c r="X57" s="25"/>
    </row>
    <row r="58" spans="16:24">
      <c r="P58" s="25"/>
      <c r="Q58" s="88" t="s">
        <v>1015</v>
      </c>
      <c r="R58" s="58">
        <f t="shared" si="0"/>
        <v>24.205378973105134</v>
      </c>
      <c r="S58" s="25"/>
      <c r="T58" s="25"/>
      <c r="U58" s="25"/>
      <c r="V58" s="25"/>
      <c r="W58" s="25"/>
      <c r="X58" s="25"/>
    </row>
    <row r="59" spans="16:24">
      <c r="P59" s="25"/>
      <c r="Q59" s="88" t="s">
        <v>1027</v>
      </c>
      <c r="R59" s="58">
        <f t="shared" si="0"/>
        <v>47.435897435897431</v>
      </c>
      <c r="S59" s="25"/>
      <c r="T59" s="25"/>
      <c r="U59" s="25"/>
      <c r="V59" s="25"/>
      <c r="W59" s="25"/>
      <c r="X59" s="25"/>
    </row>
    <row r="60" spans="16:24">
      <c r="P60" s="25"/>
      <c r="Q60" s="88" t="s">
        <v>1042</v>
      </c>
      <c r="R60" s="58">
        <f t="shared" si="0"/>
        <v>14.232902033271719</v>
      </c>
      <c r="S60" s="25"/>
      <c r="T60" s="25"/>
      <c r="U60" s="25"/>
      <c r="V60" s="25"/>
      <c r="W60" s="25"/>
      <c r="X60" s="25"/>
    </row>
    <row r="61" spans="16:24">
      <c r="P61" s="25"/>
      <c r="Q61" s="88" t="s">
        <v>1070</v>
      </c>
      <c r="R61" s="58">
        <f>((T6-S6)/S6)*100</f>
        <v>57.439446366782008</v>
      </c>
      <c r="S61" s="25"/>
      <c r="T61" s="25"/>
      <c r="U61" s="25"/>
      <c r="V61" s="25"/>
      <c r="W61" s="25"/>
      <c r="X61" s="25"/>
    </row>
    <row r="62" spans="16:24">
      <c r="P62" s="25"/>
      <c r="Q62" s="88" t="s">
        <v>1107</v>
      </c>
      <c r="R62" s="58">
        <f t="shared" ref="R62:R66" si="1">((T7-S7)/S7)*100</f>
        <v>43.539325842696627</v>
      </c>
      <c r="S62" s="25"/>
      <c r="T62" s="25"/>
      <c r="U62" s="25"/>
      <c r="V62" s="25"/>
      <c r="W62" s="25"/>
      <c r="X62" s="25"/>
    </row>
    <row r="63" spans="16:24">
      <c r="P63" s="25"/>
      <c r="Q63" s="88" t="s">
        <v>1140</v>
      </c>
      <c r="R63" s="58">
        <f t="shared" si="1"/>
        <v>29.531568228105908</v>
      </c>
      <c r="S63" s="25"/>
      <c r="T63" s="25"/>
      <c r="U63" s="25"/>
      <c r="V63" s="25"/>
      <c r="W63" s="25"/>
      <c r="X63" s="25"/>
    </row>
    <row r="64" spans="16:24">
      <c r="P64" s="25"/>
      <c r="Q64" s="88" t="s">
        <v>1164</v>
      </c>
      <c r="R64" s="58">
        <f t="shared" si="1"/>
        <v>7.5313807531380759</v>
      </c>
      <c r="S64" s="25"/>
      <c r="T64" s="25"/>
      <c r="U64" s="25"/>
      <c r="V64" s="25"/>
      <c r="W64" s="25"/>
      <c r="X64" s="25"/>
    </row>
    <row r="65" spans="1:24">
      <c r="P65" s="25"/>
      <c r="Q65" s="88" t="s">
        <v>1190</v>
      </c>
      <c r="R65" s="58">
        <f t="shared" si="1"/>
        <v>25.098039215686274</v>
      </c>
      <c r="S65" s="25"/>
      <c r="T65" s="25"/>
      <c r="U65" s="25"/>
      <c r="V65" s="25"/>
      <c r="W65" s="25"/>
      <c r="X65" s="25"/>
    </row>
    <row r="66" spans="1:24">
      <c r="P66" s="25"/>
      <c r="Q66" s="88" t="s">
        <v>1219</v>
      </c>
      <c r="R66" s="58">
        <f t="shared" si="1"/>
        <v>17.871485943775099</v>
      </c>
      <c r="S66" s="25"/>
      <c r="T66" s="25"/>
      <c r="U66" s="25"/>
      <c r="V66" s="25"/>
      <c r="W66" s="25"/>
      <c r="X66" s="25"/>
    </row>
    <row r="67" spans="1:24">
      <c r="P67" s="25"/>
      <c r="Q67" s="88" t="s">
        <v>1227</v>
      </c>
      <c r="R67" s="58">
        <f>((T12-S12)/S12)*100</f>
        <v>17.180616740088105</v>
      </c>
      <c r="S67" s="25"/>
      <c r="T67" s="25"/>
      <c r="U67" s="25"/>
      <c r="V67" s="25"/>
      <c r="W67" s="25"/>
      <c r="X67" s="25"/>
    </row>
    <row r="68" spans="1:24">
      <c r="A68" s="25" t="s">
        <v>678</v>
      </c>
      <c r="P68" s="25"/>
      <c r="Q68" s="88" t="s">
        <v>1241</v>
      </c>
      <c r="R68" s="58">
        <f>((T13-S13)/S13)*100</f>
        <v>291.72932330827069</v>
      </c>
      <c r="S68" s="25"/>
      <c r="T68" s="25"/>
      <c r="U68" s="25"/>
      <c r="V68" s="25"/>
      <c r="W68" s="25"/>
      <c r="X68" s="25"/>
    </row>
    <row r="69" spans="1:24">
      <c r="P69" s="25"/>
      <c r="Q69" s="88" t="s">
        <v>1281</v>
      </c>
      <c r="R69" s="58">
        <f>((T14-S14)/S14)*100</f>
        <v>-60.405156537753221</v>
      </c>
      <c r="S69" s="25"/>
      <c r="T69" s="25"/>
      <c r="U69" s="25"/>
      <c r="V69" s="25"/>
      <c r="W69" s="25"/>
      <c r="X69" s="25"/>
    </row>
    <row r="70" spans="1:24">
      <c r="P70" s="25"/>
      <c r="R70" s="58"/>
      <c r="S70" s="25"/>
      <c r="T70" s="25"/>
      <c r="U70" s="25"/>
      <c r="V70" s="25"/>
      <c r="W70" s="25"/>
      <c r="X70" s="25"/>
    </row>
    <row r="71" spans="1:24">
      <c r="P71" s="25"/>
      <c r="R71" s="58"/>
      <c r="S71" s="25"/>
      <c r="T71" s="25"/>
      <c r="U71" s="25"/>
      <c r="V71" s="25"/>
      <c r="W71" s="25"/>
      <c r="X71" s="25"/>
    </row>
    <row r="72" spans="1:24">
      <c r="P72" s="25"/>
      <c r="R72" s="58"/>
      <c r="S72" s="25"/>
      <c r="T72" s="25"/>
      <c r="U72" s="25"/>
      <c r="V72" s="25"/>
      <c r="W72" s="25"/>
      <c r="X72" s="25"/>
    </row>
    <row r="73" spans="1:24">
      <c r="P73" s="25"/>
      <c r="Q73" s="25"/>
      <c r="R73" s="58"/>
      <c r="S73" s="25"/>
      <c r="T73" s="25"/>
      <c r="U73" s="25"/>
      <c r="V73" s="25"/>
      <c r="W73" s="25"/>
      <c r="X73" s="25"/>
    </row>
    <row r="74" spans="1:24">
      <c r="P74" s="88"/>
      <c r="Q74" s="25"/>
      <c r="R74" s="58"/>
      <c r="S74" s="25"/>
      <c r="T74" s="25"/>
      <c r="U74" s="25"/>
      <c r="V74" s="25"/>
      <c r="W74" s="25"/>
      <c r="X74" s="25"/>
    </row>
    <row r="75" spans="1:24">
      <c r="P75" s="88"/>
      <c r="Q75" s="25"/>
      <c r="R75" s="58"/>
      <c r="S75" s="25"/>
      <c r="T75" s="25"/>
      <c r="U75" s="25"/>
      <c r="V75" s="25"/>
      <c r="W75" s="25"/>
      <c r="X75" s="25"/>
    </row>
    <row r="76" spans="1:24">
      <c r="P76" s="88"/>
      <c r="Q76" s="25"/>
      <c r="R76" s="58"/>
      <c r="S76" s="25"/>
      <c r="T76" s="25"/>
      <c r="U76" s="25"/>
      <c r="V76" s="25"/>
      <c r="W76" s="25"/>
      <c r="X76" s="25"/>
    </row>
    <row r="77" spans="1:24">
      <c r="P77" s="88"/>
      <c r="Q77" s="25"/>
      <c r="R77" s="58"/>
      <c r="S77" s="25"/>
      <c r="T77" s="25"/>
      <c r="U77" s="25"/>
      <c r="V77" s="25"/>
      <c r="W77" s="25"/>
      <c r="X77" s="25"/>
    </row>
    <row r="78" spans="1:24">
      <c r="P78" s="88"/>
      <c r="Q78" s="25"/>
      <c r="R78" s="58"/>
      <c r="S78" s="25"/>
      <c r="T78" s="25"/>
      <c r="U78" s="25"/>
      <c r="V78" s="25"/>
      <c r="W78" s="25"/>
      <c r="X78" s="25"/>
    </row>
    <row r="79" spans="1:24">
      <c r="P79" s="88"/>
      <c r="Q79" s="25"/>
      <c r="R79" s="58"/>
      <c r="S79" s="25"/>
      <c r="T79" s="25"/>
      <c r="U79" s="25"/>
      <c r="V79" s="25"/>
      <c r="W79" s="25"/>
      <c r="X79" s="25"/>
    </row>
    <row r="80" spans="1:24">
      <c r="P80" s="88"/>
      <c r="Q80" s="25"/>
      <c r="R80" s="58"/>
      <c r="S80" s="25"/>
      <c r="T80" s="25"/>
      <c r="U80" s="25"/>
      <c r="V80" s="25"/>
      <c r="W80" s="25"/>
      <c r="X80" s="25"/>
    </row>
    <row r="81" spans="16:24">
      <c r="P81" s="88"/>
      <c r="Q81" s="25"/>
      <c r="R81" s="58"/>
      <c r="S81" s="25"/>
      <c r="T81" s="25"/>
      <c r="U81" s="25"/>
      <c r="V81" s="25"/>
      <c r="W81" s="25"/>
      <c r="X81" s="25"/>
    </row>
    <row r="82" spans="16:24">
      <c r="P82" s="15"/>
      <c r="R82" s="8"/>
    </row>
    <row r="83" spans="16:24">
      <c r="P83" s="15"/>
      <c r="R83" s="8"/>
    </row>
    <row r="84" spans="16:24">
      <c r="P84" s="15"/>
      <c r="R84" s="8"/>
    </row>
    <row r="85" spans="16:24">
      <c r="P85" s="15"/>
      <c r="Q85" s="8"/>
    </row>
  </sheetData>
  <pageMargins left="0.70866141732283472" right="0.70866141732283472" top="0.74803149606299213" bottom="0.74803149606299213" header="0.31496062992125984" footer="0.31496062992125984"/>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2:J21"/>
  <sheetViews>
    <sheetView workbookViewId="0">
      <selection activeCell="R34" sqref="R34"/>
    </sheetView>
  </sheetViews>
  <sheetFormatPr baseColWidth="10" defaultColWidth="8.83203125" defaultRowHeight="15"/>
  <cols>
    <col min="1" max="1" width="21.33203125" customWidth="1"/>
    <col min="2" max="9" width="10.33203125" customWidth="1"/>
  </cols>
  <sheetData>
    <row r="2" spans="1:10" ht="19.25" customHeight="1" thickBot="1">
      <c r="B2" s="56" t="s">
        <v>1209</v>
      </c>
      <c r="C2" s="56"/>
      <c r="D2" s="56"/>
      <c r="E2" s="56"/>
      <c r="F2" s="56"/>
      <c r="G2" s="56"/>
    </row>
    <row r="4" spans="1:10">
      <c r="A4" s="7" t="s">
        <v>563</v>
      </c>
      <c r="B4" s="25"/>
      <c r="C4" s="25"/>
      <c r="D4" s="25"/>
      <c r="E4" s="258" t="s">
        <v>452</v>
      </c>
      <c r="F4" s="258"/>
      <c r="G4" s="258"/>
      <c r="H4" s="258"/>
      <c r="I4" s="258"/>
      <c r="J4" s="25"/>
    </row>
    <row r="5" spans="1:10">
      <c r="A5" s="103"/>
      <c r="B5" s="103" t="s">
        <v>535</v>
      </c>
      <c r="C5" s="103"/>
      <c r="D5" s="103" t="s">
        <v>535</v>
      </c>
      <c r="E5" s="103"/>
      <c r="F5" s="103" t="s">
        <v>536</v>
      </c>
      <c r="G5" s="103"/>
      <c r="H5" s="103" t="s">
        <v>537</v>
      </c>
      <c r="I5" s="103"/>
      <c r="J5" s="25"/>
    </row>
    <row r="6" spans="1:10">
      <c r="A6" s="103" t="s">
        <v>463</v>
      </c>
      <c r="B6" s="103" t="str">
        <f>Innehåll!D79</f>
        <v xml:space="preserve"> 2023-09</v>
      </c>
      <c r="C6" s="103" t="str">
        <f>Innehåll!D80</f>
        <v xml:space="preserve"> 2022-09</v>
      </c>
      <c r="D6" s="103" t="str">
        <f>Innehåll!D81</f>
        <v>YTD  2023</v>
      </c>
      <c r="E6" s="103" t="str">
        <f>Innehåll!D82</f>
        <v>YTD  2022</v>
      </c>
      <c r="F6" s="103" t="str">
        <f>B6</f>
        <v xml:space="preserve"> 2023-09</v>
      </c>
      <c r="G6" s="103" t="str">
        <f>D6</f>
        <v>YTD  2023</v>
      </c>
      <c r="H6" s="103" t="str">
        <f>D6</f>
        <v>YTD  2023</v>
      </c>
      <c r="I6" s="103"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304</v>
      </c>
      <c r="B8" s="61">
        <v>0</v>
      </c>
      <c r="C8" s="61">
        <v>9</v>
      </c>
      <c r="D8" s="61">
        <v>137</v>
      </c>
      <c r="E8" s="61">
        <v>52</v>
      </c>
      <c r="F8" s="25">
        <v>-100</v>
      </c>
      <c r="G8" s="25">
        <v>163.5</v>
      </c>
      <c r="H8" s="25">
        <v>2.5</v>
      </c>
      <c r="I8" s="25">
        <v>1.4</v>
      </c>
      <c r="J8" s="25"/>
    </row>
    <row r="9" spans="1:10">
      <c r="A9" s="25" t="s">
        <v>269</v>
      </c>
      <c r="B9" s="61">
        <v>4</v>
      </c>
      <c r="C9" s="61">
        <v>3</v>
      </c>
      <c r="D9" s="61">
        <v>6</v>
      </c>
      <c r="E9" s="61">
        <v>3</v>
      </c>
      <c r="F9" s="25">
        <v>33.299999999999997</v>
      </c>
      <c r="G9" s="25">
        <v>100</v>
      </c>
      <c r="H9" s="25">
        <v>0.1</v>
      </c>
      <c r="I9" s="25">
        <v>0.1</v>
      </c>
      <c r="J9" s="25"/>
    </row>
    <row r="10" spans="1:10">
      <c r="A10" s="25" t="s">
        <v>276</v>
      </c>
      <c r="B10" s="61">
        <v>7</v>
      </c>
      <c r="C10" s="61">
        <v>13</v>
      </c>
      <c r="D10" s="61">
        <v>92</v>
      </c>
      <c r="E10" s="61">
        <v>92</v>
      </c>
      <c r="F10" s="25">
        <v>-46.2</v>
      </c>
      <c r="G10" s="25">
        <v>0</v>
      </c>
      <c r="H10" s="25">
        <v>1.7</v>
      </c>
      <c r="I10" s="25">
        <v>2.4</v>
      </c>
      <c r="J10" s="25"/>
    </row>
    <row r="11" spans="1:10">
      <c r="A11" s="25" t="s">
        <v>467</v>
      </c>
      <c r="B11" s="61">
        <v>17</v>
      </c>
      <c r="C11" s="61">
        <v>59</v>
      </c>
      <c r="D11" s="61">
        <v>375</v>
      </c>
      <c r="E11" s="61">
        <v>349</v>
      </c>
      <c r="F11" s="25">
        <v>-71.2</v>
      </c>
      <c r="G11" s="25">
        <v>7.4</v>
      </c>
      <c r="H11" s="25">
        <v>7</v>
      </c>
      <c r="I11" s="25">
        <v>9.1999999999999993</v>
      </c>
      <c r="J11" s="25"/>
    </row>
    <row r="12" spans="1:10">
      <c r="A12" s="25" t="s">
        <v>286</v>
      </c>
      <c r="B12" s="61">
        <v>0</v>
      </c>
      <c r="C12" s="61">
        <v>0</v>
      </c>
      <c r="D12" s="61">
        <v>0</v>
      </c>
      <c r="E12" s="61">
        <v>2</v>
      </c>
      <c r="F12" s="25">
        <v>0</v>
      </c>
      <c r="G12" s="25">
        <v>-100</v>
      </c>
      <c r="H12" s="25">
        <v>0</v>
      </c>
      <c r="I12" s="25">
        <v>0.1</v>
      </c>
      <c r="J12" s="25"/>
    </row>
    <row r="13" spans="1:10">
      <c r="A13" s="25" t="s">
        <v>468</v>
      </c>
      <c r="B13" s="61">
        <v>80</v>
      </c>
      <c r="C13" s="61">
        <v>227</v>
      </c>
      <c r="D13" s="61">
        <v>2391</v>
      </c>
      <c r="E13" s="61">
        <v>1489</v>
      </c>
      <c r="F13" s="25">
        <v>-64.8</v>
      </c>
      <c r="G13" s="25">
        <v>60.6</v>
      </c>
      <c r="H13" s="25">
        <v>44.4</v>
      </c>
      <c r="I13" s="25">
        <v>39.299999999999997</v>
      </c>
      <c r="J13" s="25"/>
    </row>
    <row r="14" spans="1:10">
      <c r="A14" s="145" t="s">
        <v>294</v>
      </c>
      <c r="B14" s="146">
        <v>104</v>
      </c>
      <c r="C14" s="146">
        <v>228</v>
      </c>
      <c r="D14" s="146">
        <v>2366</v>
      </c>
      <c r="E14" s="146">
        <v>1766</v>
      </c>
      <c r="F14" s="147">
        <v>-54.4</v>
      </c>
      <c r="G14" s="147">
        <v>34</v>
      </c>
      <c r="H14" s="145">
        <v>43.9</v>
      </c>
      <c r="I14" s="145">
        <v>46.6</v>
      </c>
      <c r="J14" s="25"/>
    </row>
    <row r="15" spans="1:10" s="5" customFormat="1">
      <c r="A15" s="145" t="s">
        <v>295</v>
      </c>
      <c r="B15" s="146">
        <v>3</v>
      </c>
      <c r="C15" s="146">
        <v>4</v>
      </c>
      <c r="D15" s="146">
        <v>18</v>
      </c>
      <c r="E15" s="146">
        <v>38</v>
      </c>
      <c r="F15" s="147">
        <v>-25</v>
      </c>
      <c r="G15" s="147">
        <v>-52.6</v>
      </c>
      <c r="H15" s="145">
        <v>0.3</v>
      </c>
      <c r="I15" s="145">
        <v>1</v>
      </c>
      <c r="J15" s="38"/>
    </row>
    <row r="16" spans="1:10">
      <c r="A16" s="145" t="s">
        <v>454</v>
      </c>
      <c r="B16" s="146">
        <f>SUBTOTAL(109,Table_ExternalData_1[antalPerioden])</f>
        <v>215</v>
      </c>
      <c r="C16" s="146">
        <f>SUBTOTAL(109,Table_ExternalData_1[antalPeriodenFG])</f>
        <v>543</v>
      </c>
      <c r="D16" s="146">
        <f>SUBTOTAL(109,Table_ExternalData_1[antalAret])</f>
        <v>5385</v>
      </c>
      <c r="E16" s="146">
        <f>SUBTOTAL(109,Table_ExternalData_1[antalAretFG])</f>
        <v>3791</v>
      </c>
      <c r="F16" s="147">
        <f>IF(Table_ExternalData_1[[#Totals],[antalPeriodenFG]] &gt; 0,( Table_ExternalData_1[[#Totals],[antalPerioden]] - Table_ExternalData_1[[#Totals],[antalPeriodenFG]] ) / Table_ExternalData_1[[#Totals],[antalPeriodenFG]] * 100,0)</f>
        <v>-60.405156537753221</v>
      </c>
      <c r="G16" s="147">
        <f>IF(Table_ExternalData_1[[#Totals],[antalAretFG]] &gt; 0,( Table_ExternalData_1[[#Totals],[antalAret]] - Table_ExternalData_1[[#Totals],[antalAretFG]] ) / Table_ExternalData_1[[#Totals],[antalAretFG]] * 100,0)</f>
        <v>42.046953310472169</v>
      </c>
      <c r="H16" s="149" t="str">
        <f>TEXT(100,"0,0")</f>
        <v>100,0</v>
      </c>
      <c r="I16" s="149" t="str">
        <f>TEXT(100,"0,0")</f>
        <v>100,0</v>
      </c>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678</v>
      </c>
      <c r="B20" s="61"/>
      <c r="C20" s="25"/>
      <c r="D20" s="61"/>
      <c r="E20" s="25"/>
      <c r="F20" s="25"/>
      <c r="G20" s="25"/>
      <c r="H20" s="25"/>
      <c r="I20" s="25"/>
      <c r="J20" s="25"/>
    </row>
    <row r="21" spans="1:10">
      <c r="A21" s="25"/>
      <c r="B21" s="25"/>
      <c r="C21" s="25"/>
      <c r="D21" s="25"/>
      <c r="E21" s="25"/>
      <c r="F21" s="25"/>
      <c r="G21" s="25"/>
      <c r="H21" s="25"/>
      <c r="I21" s="25"/>
      <c r="J21" s="25"/>
    </row>
  </sheetData>
  <mergeCells count="1">
    <mergeCell ref="E4:I4"/>
  </mergeCells>
  <dataValidations count="3">
    <dataValidation allowBlank="1" showInputMessage="1" showErrorMessage="1" prompt="förändring i antalet registreringar ackumulerat från årets början t.o.m den aktuella månaden." sqref="G6" xr:uid="{00000000-0002-0000-1100-000000000000}"/>
    <dataValidation allowBlank="1" showInputMessage="1" showErrorMessage="1" prompt="visar antalet registreringar för den aktuella månaden i år." sqref="B6:E6" xr:uid="{00000000-0002-0000-1100-000001000000}"/>
    <dataValidation allowBlank="1" showInputMessage="1" showErrorMessage="1" prompt="förändring i marknads-andelen ackumulerat från årets början t.o.m den aktuella månaden." sqref="I6" xr:uid="{00000000-0002-0000-1100-000002000000}"/>
  </dataValidations>
  <pageMargins left="0.7" right="0.7" top="0.75" bottom="0.75" header="0.3" footer="0.3"/>
  <pageSetup paperSize="9"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5"/>
  <dimension ref="A2:I70"/>
  <sheetViews>
    <sheetView workbookViewId="0">
      <selection activeCell="K9" sqref="K9"/>
    </sheetView>
  </sheetViews>
  <sheetFormatPr baseColWidth="10" defaultColWidth="8.83203125" defaultRowHeight="15"/>
  <cols>
    <col min="1" max="1" width="18.33203125" customWidth="1"/>
    <col min="2" max="9" width="10.33203125" customWidth="1"/>
  </cols>
  <sheetData>
    <row r="2" spans="1:9" ht="19.25" customHeight="1" thickBot="1">
      <c r="C2" s="56" t="s">
        <v>564</v>
      </c>
      <c r="D2" s="56"/>
      <c r="E2" s="56"/>
      <c r="F2" s="56"/>
    </row>
    <row r="4" spans="1:9">
      <c r="A4" s="7" t="s">
        <v>451</v>
      </c>
      <c r="B4" s="25"/>
      <c r="C4" s="25"/>
      <c r="D4" s="25"/>
      <c r="E4" s="258" t="s">
        <v>452</v>
      </c>
      <c r="F4" s="258"/>
      <c r="G4" s="258"/>
      <c r="H4" s="258"/>
      <c r="I4" s="258"/>
    </row>
    <row r="5" spans="1:9">
      <c r="A5" s="103"/>
      <c r="B5" s="261" t="s">
        <v>535</v>
      </c>
      <c r="C5" s="262"/>
      <c r="D5" s="261" t="s">
        <v>535</v>
      </c>
      <c r="E5" s="262"/>
      <c r="F5" s="272" t="s">
        <v>536</v>
      </c>
      <c r="G5" s="273"/>
      <c r="H5" s="259" t="s">
        <v>537</v>
      </c>
      <c r="I5" s="260"/>
    </row>
    <row r="6" spans="1:9">
      <c r="A6" s="103" t="s">
        <v>463</v>
      </c>
      <c r="B6" s="117" t="str">
        <f>Innehåll!D79</f>
        <v xml:space="preserve"> 2023-09</v>
      </c>
      <c r="C6" s="117" t="str">
        <f>Innehåll!D80</f>
        <v xml:space="preserve"> 2022-09</v>
      </c>
      <c r="D6" s="117" t="str">
        <f>Innehåll!D81</f>
        <v>YTD  2023</v>
      </c>
      <c r="E6" s="117" t="str">
        <f>Innehåll!D82</f>
        <v>YTD  2022</v>
      </c>
      <c r="F6" s="131" t="str">
        <f>B6</f>
        <v xml:space="preserve"> 2023-09</v>
      </c>
      <c r="G6" s="118" t="str">
        <f>D6</f>
        <v>YTD  2023</v>
      </c>
      <c r="H6" s="117" t="str">
        <f>D6</f>
        <v>YTD  2023</v>
      </c>
      <c r="I6" s="132" t="str">
        <f>E6</f>
        <v>YTD  2022</v>
      </c>
    </row>
    <row r="7" spans="1:9" ht="15" hidden="1" customHeight="1">
      <c r="A7" s="25"/>
      <c r="B7" s="25"/>
      <c r="C7" s="25"/>
      <c r="D7" s="25"/>
      <c r="E7" s="25"/>
      <c r="F7" s="25"/>
      <c r="G7" s="25"/>
      <c r="H7" s="25"/>
      <c r="I7" s="25"/>
    </row>
    <row r="8" spans="1:9" ht="15" hidden="1" customHeight="1">
      <c r="A8" s="25" t="s">
        <v>241</v>
      </c>
      <c r="B8" s="25" t="s">
        <v>26</v>
      </c>
      <c r="C8" s="25" t="s">
        <v>298</v>
      </c>
      <c r="D8" s="25" t="s">
        <v>299</v>
      </c>
      <c r="E8" s="25" t="s">
        <v>300</v>
      </c>
      <c r="F8" s="25" t="s">
        <v>301</v>
      </c>
      <c r="G8" s="25" t="s">
        <v>31</v>
      </c>
      <c r="H8" s="25" t="s">
        <v>302</v>
      </c>
      <c r="I8" s="25" t="s">
        <v>303</v>
      </c>
    </row>
    <row r="9" spans="1:9">
      <c r="A9" s="25" t="s">
        <v>467</v>
      </c>
      <c r="B9" s="61">
        <v>9</v>
      </c>
      <c r="C9" s="61">
        <v>16</v>
      </c>
      <c r="D9" s="61">
        <v>219</v>
      </c>
      <c r="E9" s="61">
        <v>122</v>
      </c>
      <c r="F9" s="58">
        <v>-43.8</v>
      </c>
      <c r="G9" s="58">
        <v>79.5</v>
      </c>
      <c r="H9" s="58">
        <v>27.6</v>
      </c>
      <c r="I9" s="58">
        <v>14.4</v>
      </c>
    </row>
    <row r="10" spans="1:9">
      <c r="A10" s="25" t="s">
        <v>276</v>
      </c>
      <c r="B10" s="61">
        <v>11</v>
      </c>
      <c r="C10" s="61">
        <v>3</v>
      </c>
      <c r="D10" s="61">
        <v>165</v>
      </c>
      <c r="E10" s="61">
        <v>128</v>
      </c>
      <c r="F10" s="58">
        <v>266.7</v>
      </c>
      <c r="G10" s="58">
        <v>28.9</v>
      </c>
      <c r="H10" s="58">
        <v>20.8</v>
      </c>
      <c r="I10" s="58">
        <v>15.1</v>
      </c>
    </row>
    <row r="11" spans="1:9">
      <c r="A11" s="25" t="s">
        <v>294</v>
      </c>
      <c r="B11" s="61">
        <v>6</v>
      </c>
      <c r="C11" s="61">
        <v>27</v>
      </c>
      <c r="D11" s="61">
        <v>117</v>
      </c>
      <c r="E11" s="61">
        <v>304</v>
      </c>
      <c r="F11" s="58">
        <v>-77.8</v>
      </c>
      <c r="G11" s="58">
        <v>-61.5</v>
      </c>
      <c r="H11" s="58">
        <v>14.8</v>
      </c>
      <c r="I11" s="58">
        <v>36</v>
      </c>
    </row>
    <row r="12" spans="1:9">
      <c r="A12" s="25" t="s">
        <v>468</v>
      </c>
      <c r="B12" s="61">
        <v>1</v>
      </c>
      <c r="C12" s="61">
        <v>1</v>
      </c>
      <c r="D12" s="61">
        <v>92</v>
      </c>
      <c r="E12" s="61">
        <v>207</v>
      </c>
      <c r="F12" s="58">
        <v>0</v>
      </c>
      <c r="G12" s="58">
        <v>-55.6</v>
      </c>
      <c r="H12" s="58">
        <v>11.6</v>
      </c>
      <c r="I12" s="58">
        <v>24.5</v>
      </c>
    </row>
    <row r="13" spans="1:9">
      <c r="A13" s="25" t="s">
        <v>269</v>
      </c>
      <c r="B13" s="61">
        <v>3</v>
      </c>
      <c r="C13" s="61">
        <v>0</v>
      </c>
      <c r="D13" s="61">
        <v>73</v>
      </c>
      <c r="E13" s="61">
        <v>13</v>
      </c>
      <c r="F13" s="58">
        <v>0</v>
      </c>
      <c r="G13" s="58">
        <v>461.5</v>
      </c>
      <c r="H13" s="58">
        <v>9.1999999999999993</v>
      </c>
      <c r="I13" s="58">
        <v>1.5</v>
      </c>
    </row>
    <row r="14" spans="1:9">
      <c r="A14" s="25" t="s">
        <v>1106</v>
      </c>
      <c r="B14" s="61">
        <v>0</v>
      </c>
      <c r="C14" s="61">
        <v>0</v>
      </c>
      <c r="D14" s="61">
        <v>42</v>
      </c>
      <c r="E14" s="61">
        <v>0</v>
      </c>
      <c r="F14" s="58">
        <v>0</v>
      </c>
      <c r="G14" s="58">
        <v>0</v>
      </c>
      <c r="H14" s="58">
        <v>5.3</v>
      </c>
      <c r="I14" s="58">
        <v>0</v>
      </c>
    </row>
    <row r="15" spans="1:9">
      <c r="A15" s="25" t="s">
        <v>471</v>
      </c>
      <c r="B15" s="61">
        <v>1</v>
      </c>
      <c r="C15" s="61">
        <v>1</v>
      </c>
      <c r="D15" s="61">
        <v>40</v>
      </c>
      <c r="E15" s="61">
        <v>7</v>
      </c>
      <c r="F15" s="58">
        <v>0</v>
      </c>
      <c r="G15" s="58">
        <v>471.4</v>
      </c>
      <c r="H15" s="58">
        <v>5</v>
      </c>
      <c r="I15" s="58">
        <v>0.8</v>
      </c>
    </row>
    <row r="16" spans="1:9">
      <c r="A16" s="25" t="s">
        <v>266</v>
      </c>
      <c r="B16" s="61">
        <v>0</v>
      </c>
      <c r="C16" s="61">
        <v>0</v>
      </c>
      <c r="D16" s="61">
        <v>14</v>
      </c>
      <c r="E16" s="61">
        <v>1</v>
      </c>
      <c r="F16" s="58">
        <v>0</v>
      </c>
      <c r="G16" s="58">
        <v>1300</v>
      </c>
      <c r="H16" s="58">
        <v>1.8</v>
      </c>
      <c r="I16" s="58">
        <v>0.1</v>
      </c>
    </row>
    <row r="17" spans="1:9">
      <c r="A17" s="25" t="s">
        <v>708</v>
      </c>
      <c r="B17" s="61">
        <v>0</v>
      </c>
      <c r="C17" s="61">
        <v>0</v>
      </c>
      <c r="D17" s="61">
        <v>9</v>
      </c>
      <c r="E17" s="61">
        <v>1</v>
      </c>
      <c r="F17" s="58">
        <v>0</v>
      </c>
      <c r="G17" s="58">
        <v>800</v>
      </c>
      <c r="H17" s="58">
        <v>1.1000000000000001</v>
      </c>
      <c r="I17" s="58">
        <v>0.1</v>
      </c>
    </row>
    <row r="18" spans="1:9">
      <c r="A18" s="145" t="s">
        <v>286</v>
      </c>
      <c r="B18" s="146">
        <v>1</v>
      </c>
      <c r="C18" s="146">
        <v>0</v>
      </c>
      <c r="D18" s="146">
        <v>1</v>
      </c>
      <c r="E18" s="146">
        <v>0</v>
      </c>
      <c r="F18" s="147">
        <v>0</v>
      </c>
      <c r="G18" s="147">
        <v>0</v>
      </c>
      <c r="H18" s="147">
        <v>0.1</v>
      </c>
      <c r="I18" s="147">
        <v>0</v>
      </c>
    </row>
    <row r="19" spans="1:9">
      <c r="A19" s="145" t="s">
        <v>361</v>
      </c>
      <c r="B19" s="146">
        <v>0</v>
      </c>
      <c r="C19" s="146">
        <v>0</v>
      </c>
      <c r="D19" s="146">
        <v>0</v>
      </c>
      <c r="E19" s="146">
        <v>1</v>
      </c>
      <c r="F19" s="147">
        <v>0</v>
      </c>
      <c r="G19" s="147">
        <v>-100</v>
      </c>
      <c r="H19" s="147">
        <v>0</v>
      </c>
      <c r="I19" s="147">
        <v>0.1</v>
      </c>
    </row>
    <row r="20" spans="1:9">
      <c r="A20" s="145" t="s">
        <v>674</v>
      </c>
      <c r="B20" s="146">
        <v>0</v>
      </c>
      <c r="C20" s="146">
        <v>0</v>
      </c>
      <c r="D20" s="146">
        <v>0</v>
      </c>
      <c r="E20" s="146">
        <v>25</v>
      </c>
      <c r="F20" s="147">
        <v>0</v>
      </c>
      <c r="G20" s="147">
        <v>-100</v>
      </c>
      <c r="H20" s="147">
        <v>0</v>
      </c>
      <c r="I20" s="147">
        <v>3</v>
      </c>
    </row>
    <row r="21" spans="1:9">
      <c r="A21" s="145" t="s">
        <v>295</v>
      </c>
      <c r="B21" s="146">
        <v>4</v>
      </c>
      <c r="C21" s="146">
        <v>0</v>
      </c>
      <c r="D21" s="146">
        <v>21</v>
      </c>
      <c r="E21" s="146">
        <v>36</v>
      </c>
      <c r="F21" s="147">
        <v>0</v>
      </c>
      <c r="G21" s="147">
        <v>-41.7</v>
      </c>
      <c r="H21" s="147">
        <v>2.6</v>
      </c>
      <c r="I21" s="147">
        <v>4.3</v>
      </c>
    </row>
    <row r="22" spans="1:9">
      <c r="A22" s="145" t="s">
        <v>355</v>
      </c>
      <c r="B22" s="146">
        <f>SUBTOTAL(109,getAggBussAll[antalPerioden])</f>
        <v>36</v>
      </c>
      <c r="C22" s="146">
        <f>SUBTOTAL(109,getAggBussAll[antalPeriodenFG])</f>
        <v>48</v>
      </c>
      <c r="D22" s="146">
        <f>SUBTOTAL(109,getAggBussAll[antalAret])</f>
        <v>793</v>
      </c>
      <c r="E22" s="146">
        <f>SUBTOTAL(109,getAggBussAll[antalAretFG])</f>
        <v>845</v>
      </c>
      <c r="F22" s="147">
        <f>IF(getAggBussAll[[#Totals],[antalPeriodenFG]] &gt; 0,( getAggBussAll[[#Totals],[antalPerioden]] - getAggBussAll[[#Totals],[antalPeriodenFG]] ) / getAggBussAll[[#Totals],[antalPeriodenFG]] * 100,0)</f>
        <v>-25</v>
      </c>
      <c r="G22" s="147">
        <f>IF(getAggBussAll[[#Totals],[antalAretFG]] &gt; 0,( getAggBussAll[[#Totals],[antalAret]] - getAggBussAll[[#Totals],[antalAretFG]] ) / getAggBussAll[[#Totals],[antalAretFG]] * 100,0)</f>
        <v>-6.1538461538461542</v>
      </c>
      <c r="H22" s="151" t="str">
        <f>TEXT(100,"0,0")</f>
        <v>100,0</v>
      </c>
      <c r="I22" s="151" t="str">
        <f>TEXT(100,"0,0")</f>
        <v>100,0</v>
      </c>
    </row>
    <row r="23" spans="1:9">
      <c r="A23" s="145"/>
      <c r="B23" s="146"/>
      <c r="C23" s="146"/>
      <c r="D23" s="146"/>
      <c r="E23" s="146"/>
      <c r="F23" s="147"/>
      <c r="G23" s="147"/>
      <c r="H23" s="147"/>
      <c r="I23" s="147"/>
    </row>
    <row r="24" spans="1:9">
      <c r="A24" s="25"/>
      <c r="B24" s="61"/>
      <c r="C24" s="61"/>
      <c r="D24" s="61"/>
      <c r="E24" s="61"/>
      <c r="F24" s="58"/>
      <c r="G24" s="58"/>
      <c r="H24" s="91"/>
      <c r="I24" s="91"/>
    </row>
    <row r="25" spans="1:9">
      <c r="A25" s="25"/>
      <c r="B25" s="61"/>
      <c r="C25" s="61"/>
      <c r="D25" s="61"/>
      <c r="E25" s="61"/>
      <c r="F25" s="58"/>
      <c r="G25" s="58"/>
      <c r="H25" s="91"/>
      <c r="I25" s="91"/>
    </row>
    <row r="26" spans="1:9" ht="19.25" customHeight="1" thickBot="1">
      <c r="A26" s="25"/>
      <c r="B26" s="25"/>
      <c r="C26" s="56" t="s">
        <v>565</v>
      </c>
      <c r="D26" s="56"/>
      <c r="E26" s="56"/>
      <c r="F26" s="56"/>
      <c r="G26" s="25"/>
      <c r="H26" s="25"/>
      <c r="I26" s="25"/>
    </row>
    <row r="27" spans="1:9">
      <c r="A27" s="25"/>
      <c r="B27" s="25"/>
      <c r="C27" s="25"/>
      <c r="D27" s="25"/>
      <c r="E27" s="25"/>
      <c r="F27" s="25"/>
      <c r="G27" s="25"/>
      <c r="H27" s="25"/>
      <c r="I27" s="25"/>
    </row>
    <row r="28" spans="1:9" s="5" customFormat="1">
      <c r="A28" s="7" t="s">
        <v>451</v>
      </c>
      <c r="B28" s="25"/>
      <c r="C28" s="25"/>
      <c r="D28" s="25"/>
      <c r="E28" s="258" t="s">
        <v>452</v>
      </c>
      <c r="F28" s="258"/>
      <c r="G28" s="258"/>
      <c r="H28" s="258"/>
      <c r="I28" s="258"/>
    </row>
    <row r="29" spans="1:9">
      <c r="A29" s="103"/>
      <c r="B29" s="103" t="s">
        <v>535</v>
      </c>
      <c r="C29" s="103"/>
      <c r="D29" s="103" t="s">
        <v>535</v>
      </c>
      <c r="E29" s="103"/>
      <c r="F29" s="103" t="s">
        <v>536</v>
      </c>
      <c r="G29" s="103"/>
      <c r="H29" s="103" t="s">
        <v>537</v>
      </c>
      <c r="I29" s="103"/>
    </row>
    <row r="30" spans="1:9">
      <c r="A30" s="103" t="s">
        <v>463</v>
      </c>
      <c r="B30" s="103" t="str">
        <f>Innehåll!D79</f>
        <v xml:space="preserve"> 2023-09</v>
      </c>
      <c r="C30" s="103" t="str">
        <f>Innehåll!D80</f>
        <v xml:space="preserve"> 2022-09</v>
      </c>
      <c r="D30" s="103" t="str">
        <f>Innehåll!D81</f>
        <v>YTD  2023</v>
      </c>
      <c r="E30" s="103" t="str">
        <f>Innehåll!D82</f>
        <v>YTD  2022</v>
      </c>
      <c r="F30" s="103" t="str">
        <f>B30</f>
        <v xml:space="preserve"> 2023-09</v>
      </c>
      <c r="G30" s="103" t="str">
        <f>D30</f>
        <v>YTD  2023</v>
      </c>
      <c r="H30" s="103" t="str">
        <f>D30</f>
        <v>YTD  2023</v>
      </c>
      <c r="I30" s="103" t="str">
        <f>E30</f>
        <v>YTD  2022</v>
      </c>
    </row>
    <row r="31" spans="1:9" ht="15" hidden="1" customHeight="1">
      <c r="A31" s="25" t="s">
        <v>241</v>
      </c>
      <c r="B31" s="25" t="s">
        <v>26</v>
      </c>
      <c r="C31" s="25" t="s">
        <v>298</v>
      </c>
      <c r="D31" s="25" t="s">
        <v>299</v>
      </c>
      <c r="E31" s="25" t="s">
        <v>300</v>
      </c>
      <c r="F31" s="25" t="s">
        <v>301</v>
      </c>
      <c r="G31" s="25" t="s">
        <v>31</v>
      </c>
      <c r="H31" s="25" t="s">
        <v>302</v>
      </c>
      <c r="I31" s="25" t="s">
        <v>303</v>
      </c>
    </row>
    <row r="32" spans="1:9">
      <c r="A32" s="25" t="s">
        <v>276</v>
      </c>
      <c r="B32" s="61">
        <v>6</v>
      </c>
      <c r="C32" s="61">
        <v>2</v>
      </c>
      <c r="D32" s="61">
        <v>157</v>
      </c>
      <c r="E32" s="61">
        <v>111</v>
      </c>
      <c r="F32" s="58">
        <v>200</v>
      </c>
      <c r="G32" s="58">
        <v>41.4</v>
      </c>
      <c r="H32" s="58">
        <v>27.4</v>
      </c>
      <c r="I32" s="58">
        <v>15.2</v>
      </c>
    </row>
    <row r="33" spans="1:9">
      <c r="A33" s="25" t="s">
        <v>294</v>
      </c>
      <c r="B33" s="61">
        <v>6</v>
      </c>
      <c r="C33" s="61">
        <v>27</v>
      </c>
      <c r="D33" s="61">
        <v>117</v>
      </c>
      <c r="E33" s="61">
        <v>304</v>
      </c>
      <c r="F33" s="58">
        <v>-77.8</v>
      </c>
      <c r="G33" s="58">
        <v>-61.5</v>
      </c>
      <c r="H33" s="58">
        <v>20.399999999999999</v>
      </c>
      <c r="I33" s="58">
        <v>41.8</v>
      </c>
    </row>
    <row r="34" spans="1:9">
      <c r="A34" s="25" t="s">
        <v>467</v>
      </c>
      <c r="B34" s="61">
        <v>5</v>
      </c>
      <c r="C34" s="61">
        <v>10</v>
      </c>
      <c r="D34" s="61">
        <v>104</v>
      </c>
      <c r="E34" s="61">
        <v>34</v>
      </c>
      <c r="F34" s="58">
        <v>-50</v>
      </c>
      <c r="G34" s="58">
        <v>205.9</v>
      </c>
      <c r="H34" s="58">
        <v>18.2</v>
      </c>
      <c r="I34" s="58">
        <v>4.7</v>
      </c>
    </row>
    <row r="35" spans="1:9">
      <c r="A35" s="25" t="s">
        <v>468</v>
      </c>
      <c r="B35" s="61">
        <v>1</v>
      </c>
      <c r="C35" s="61">
        <v>1</v>
      </c>
      <c r="D35" s="61">
        <v>92</v>
      </c>
      <c r="E35" s="61">
        <v>207</v>
      </c>
      <c r="F35" s="58">
        <v>0</v>
      </c>
      <c r="G35" s="58">
        <v>-55.6</v>
      </c>
      <c r="H35" s="58">
        <v>16.100000000000001</v>
      </c>
      <c r="I35" s="58">
        <v>28.4</v>
      </c>
    </row>
    <row r="36" spans="1:9" ht="15" customHeight="1">
      <c r="A36" s="25" t="s">
        <v>471</v>
      </c>
      <c r="B36" s="61">
        <v>1</v>
      </c>
      <c r="C36" s="61">
        <v>1</v>
      </c>
      <c r="D36" s="61">
        <v>40</v>
      </c>
      <c r="E36" s="61">
        <v>7</v>
      </c>
      <c r="F36" s="58">
        <v>0</v>
      </c>
      <c r="G36" s="58">
        <v>471.4</v>
      </c>
      <c r="H36" s="58">
        <v>7</v>
      </c>
      <c r="I36" s="58">
        <v>1</v>
      </c>
    </row>
    <row r="37" spans="1:9">
      <c r="A37" s="25" t="s">
        <v>269</v>
      </c>
      <c r="B37" s="61">
        <v>0</v>
      </c>
      <c r="C37" s="61">
        <v>0</v>
      </c>
      <c r="D37" s="61">
        <v>37</v>
      </c>
      <c r="E37" s="61">
        <v>2</v>
      </c>
      <c r="F37" s="58">
        <v>0</v>
      </c>
      <c r="G37" s="58">
        <v>1750</v>
      </c>
      <c r="H37" s="58">
        <v>6.5</v>
      </c>
      <c r="I37" s="58">
        <v>0.3</v>
      </c>
    </row>
    <row r="38" spans="1:9">
      <c r="A38" s="25" t="s">
        <v>708</v>
      </c>
      <c r="B38" s="61">
        <v>0</v>
      </c>
      <c r="C38" s="61">
        <v>0</v>
      </c>
      <c r="D38" s="61">
        <v>9</v>
      </c>
      <c r="E38" s="61">
        <v>1</v>
      </c>
      <c r="F38" s="58">
        <v>0</v>
      </c>
      <c r="G38" s="58">
        <v>800</v>
      </c>
      <c r="H38" s="58">
        <v>1.6</v>
      </c>
      <c r="I38" s="58">
        <v>0.1</v>
      </c>
    </row>
    <row r="39" spans="1:9">
      <c r="A39" s="145" t="s">
        <v>674</v>
      </c>
      <c r="B39" s="146">
        <v>0</v>
      </c>
      <c r="C39" s="146">
        <v>0</v>
      </c>
      <c r="D39" s="146">
        <v>0</v>
      </c>
      <c r="E39" s="146">
        <v>25</v>
      </c>
      <c r="F39" s="147">
        <v>0</v>
      </c>
      <c r="G39" s="147">
        <v>-100</v>
      </c>
      <c r="H39" s="147">
        <v>0</v>
      </c>
      <c r="I39" s="147">
        <v>3.4</v>
      </c>
    </row>
    <row r="40" spans="1:9">
      <c r="A40" s="145" t="s">
        <v>361</v>
      </c>
      <c r="B40" s="146">
        <v>0</v>
      </c>
      <c r="C40" s="146">
        <v>0</v>
      </c>
      <c r="D40" s="146">
        <v>0</v>
      </c>
      <c r="E40" s="146">
        <v>1</v>
      </c>
      <c r="F40" s="147">
        <v>0</v>
      </c>
      <c r="G40" s="147">
        <v>-100</v>
      </c>
      <c r="H40" s="147">
        <v>0</v>
      </c>
      <c r="I40" s="147">
        <v>0.1</v>
      </c>
    </row>
    <row r="41" spans="1:9">
      <c r="A41" s="145" t="s">
        <v>295</v>
      </c>
      <c r="B41" s="146">
        <v>0</v>
      </c>
      <c r="C41" s="146">
        <v>0</v>
      </c>
      <c r="D41" s="146">
        <v>17</v>
      </c>
      <c r="E41" s="146">
        <v>36</v>
      </c>
      <c r="F41" s="147">
        <v>0</v>
      </c>
      <c r="G41" s="147">
        <v>-52.8</v>
      </c>
      <c r="H41" s="147">
        <v>3</v>
      </c>
      <c r="I41" s="147">
        <v>4.9000000000000004</v>
      </c>
    </row>
    <row r="42" spans="1:9">
      <c r="A42" s="145" t="s">
        <v>355</v>
      </c>
      <c r="B42" s="146">
        <f>SUBTOTAL(109,getAggBuss[antalPerioden])</f>
        <v>19</v>
      </c>
      <c r="C42" s="146">
        <f>SUBTOTAL(109,getAggBuss[antalPeriodenFG])</f>
        <v>41</v>
      </c>
      <c r="D42" s="146">
        <f>SUBTOTAL(109,getAggBuss[antalAret])</f>
        <v>573</v>
      </c>
      <c r="E42" s="146">
        <f>SUBTOTAL(109,getAggBuss[antalAretFG])</f>
        <v>728</v>
      </c>
      <c r="F42" s="147">
        <f>IF(getAggBuss[[#Totals],[antalPeriodenFG]] &gt; 0,( getAggBuss[[#Totals],[antalPerioden]] - getAggBuss[[#Totals],[antalPeriodenFG]] ) / getAggBuss[[#Totals],[antalPeriodenFG]] * 100,0)</f>
        <v>-53.658536585365859</v>
      </c>
      <c r="G42" s="147">
        <f>IF(getAggBuss[[#Totals],[antalAretFG]] &gt; 0,( getAggBuss[[#Totals],[antalAret]] - getAggBuss[[#Totals],[antalAretFG]] ) / getAggBuss[[#Totals],[antalAretFG]] * 100,0)</f>
        <v>-21.291208791208792</v>
      </c>
      <c r="H42" s="151" t="str">
        <f>TEXT(100,"0,0")</f>
        <v>100,0</v>
      </c>
      <c r="I42" s="151" t="str">
        <f>TEXT(100,"0,0")</f>
        <v>100,0</v>
      </c>
    </row>
    <row r="43" spans="1:9">
      <c r="A43" s="25"/>
      <c r="B43" s="25"/>
      <c r="C43" s="25"/>
      <c r="D43" s="25"/>
      <c r="E43" s="25"/>
      <c r="F43" s="25"/>
      <c r="G43" s="25"/>
      <c r="H43" s="25"/>
      <c r="I43" s="25"/>
    </row>
    <row r="44" spans="1:9">
      <c r="A44" s="25" t="s">
        <v>678</v>
      </c>
      <c r="B44" s="25"/>
      <c r="C44" s="25"/>
      <c r="D44" s="25"/>
      <c r="E44" s="25"/>
      <c r="F44" s="25"/>
      <c r="G44" s="25"/>
      <c r="H44" s="25"/>
      <c r="I44" s="25"/>
    </row>
    <row r="45" spans="1:9">
      <c r="A45" s="25"/>
      <c r="B45" s="25"/>
      <c r="C45" s="25"/>
      <c r="D45" s="25"/>
      <c r="E45" s="25"/>
      <c r="F45" s="25"/>
      <c r="G45" s="25"/>
      <c r="H45" s="25"/>
      <c r="I45" s="25"/>
    </row>
    <row r="46" spans="1:9">
      <c r="A46" s="25"/>
      <c r="B46" s="25"/>
      <c r="C46" s="25"/>
      <c r="D46" s="25"/>
      <c r="E46" s="25"/>
      <c r="F46" s="25"/>
      <c r="G46" s="25"/>
      <c r="H46" s="25"/>
      <c r="I46" s="25"/>
    </row>
    <row r="47" spans="1:9">
      <c r="A47" s="25"/>
      <c r="B47" s="25"/>
      <c r="C47" s="25"/>
      <c r="D47" s="25"/>
      <c r="E47" s="25"/>
      <c r="F47" s="25"/>
      <c r="G47" s="25"/>
      <c r="H47" s="25"/>
      <c r="I47" s="25"/>
    </row>
    <row r="48" spans="1:9">
      <c r="A48" s="25"/>
      <c r="B48" s="25"/>
      <c r="C48" s="25"/>
      <c r="D48" s="25"/>
      <c r="E48" s="25"/>
      <c r="F48" s="25"/>
      <c r="G48" s="25"/>
      <c r="H48" s="25"/>
      <c r="I48" s="25"/>
    </row>
    <row r="49" spans="1:9">
      <c r="A49" s="25"/>
      <c r="B49" s="25"/>
      <c r="C49" s="25"/>
      <c r="D49" s="25"/>
      <c r="E49" s="25"/>
      <c r="F49" s="25"/>
      <c r="G49" s="25"/>
      <c r="H49" s="25"/>
      <c r="I49" s="25"/>
    </row>
    <row r="50" spans="1:9">
      <c r="A50" s="25"/>
      <c r="B50" s="25"/>
      <c r="C50" s="25"/>
      <c r="D50" s="25"/>
      <c r="E50" s="25"/>
      <c r="F50" s="25"/>
      <c r="G50" s="25"/>
      <c r="H50" s="25"/>
      <c r="I50" s="25"/>
    </row>
    <row r="51" spans="1:9">
      <c r="A51" s="25"/>
      <c r="B51" s="25"/>
      <c r="C51" s="25"/>
      <c r="D51" s="25"/>
      <c r="E51" s="25"/>
      <c r="F51" s="25"/>
      <c r="G51" s="25"/>
      <c r="H51" s="25"/>
      <c r="I51" s="25"/>
    </row>
    <row r="52" spans="1:9">
      <c r="A52" s="25"/>
      <c r="B52" s="25"/>
      <c r="C52" s="25"/>
      <c r="D52" s="25"/>
      <c r="E52" s="25"/>
      <c r="F52" s="25"/>
      <c r="G52" s="25"/>
      <c r="H52" s="25"/>
      <c r="I52" s="25"/>
    </row>
    <row r="53" spans="1:9">
      <c r="A53" s="25"/>
      <c r="B53" s="25"/>
      <c r="C53" s="25"/>
      <c r="D53" s="25"/>
      <c r="E53" s="25"/>
      <c r="F53" s="25"/>
      <c r="G53" s="25"/>
      <c r="H53" s="25"/>
      <c r="I53" s="25"/>
    </row>
    <row r="54" spans="1:9">
      <c r="A54" s="25"/>
      <c r="B54" s="25"/>
      <c r="C54" s="25"/>
      <c r="D54" s="25"/>
      <c r="E54" s="25"/>
      <c r="F54" s="25"/>
      <c r="G54" s="25"/>
      <c r="H54" s="25"/>
      <c r="I54" s="25"/>
    </row>
    <row r="55" spans="1:9">
      <c r="A55" s="25"/>
      <c r="B55" s="25"/>
      <c r="C55" s="25"/>
      <c r="D55" s="25"/>
      <c r="E55" s="25"/>
      <c r="F55" s="25"/>
      <c r="G55" s="25"/>
      <c r="H55" s="25"/>
      <c r="I55" s="25"/>
    </row>
    <row r="56" spans="1:9">
      <c r="A56" s="25"/>
      <c r="B56" s="25"/>
      <c r="C56" s="25"/>
      <c r="D56" s="25"/>
      <c r="E56" s="25"/>
      <c r="F56" s="25"/>
      <c r="G56" s="25"/>
      <c r="H56" s="25"/>
      <c r="I56" s="25"/>
    </row>
    <row r="57" spans="1:9">
      <c r="A57" s="25"/>
      <c r="B57" s="25"/>
      <c r="C57" s="25"/>
      <c r="D57" s="25"/>
      <c r="E57" s="25"/>
      <c r="F57" s="25"/>
      <c r="G57" s="25"/>
      <c r="H57" s="25"/>
      <c r="I57" s="25"/>
    </row>
    <row r="58" spans="1:9">
      <c r="A58" s="25"/>
      <c r="B58" s="25"/>
      <c r="C58" s="25"/>
      <c r="D58" s="25"/>
      <c r="E58" s="25"/>
      <c r="F58" s="25"/>
      <c r="G58" s="25"/>
      <c r="H58" s="25"/>
      <c r="I58" s="25"/>
    </row>
    <row r="59" spans="1:9">
      <c r="A59" s="25"/>
      <c r="B59" s="25"/>
      <c r="C59" s="25"/>
      <c r="D59" s="25"/>
      <c r="E59" s="25"/>
      <c r="F59" s="25"/>
      <c r="G59" s="25"/>
      <c r="H59" s="25"/>
      <c r="I59" s="25"/>
    </row>
    <row r="60" spans="1:9">
      <c r="A60" s="25"/>
      <c r="B60" s="25"/>
      <c r="C60" s="25"/>
      <c r="D60" s="25"/>
      <c r="E60" s="25"/>
      <c r="F60" s="25"/>
      <c r="G60" s="25"/>
      <c r="H60" s="25"/>
      <c r="I60" s="25"/>
    </row>
    <row r="61" spans="1:9">
      <c r="A61" s="25"/>
      <c r="B61" s="25"/>
      <c r="C61" s="25"/>
      <c r="D61" s="25"/>
      <c r="E61" s="25"/>
      <c r="F61" s="25"/>
      <c r="G61" s="25"/>
      <c r="H61" s="25"/>
      <c r="I61" s="25"/>
    </row>
    <row r="62" spans="1:9">
      <c r="A62" s="25"/>
      <c r="B62" s="25"/>
      <c r="C62" s="25"/>
      <c r="D62" s="25"/>
      <c r="E62" s="25"/>
      <c r="F62" s="25"/>
      <c r="G62" s="25"/>
      <c r="H62" s="25"/>
      <c r="I62" s="25"/>
    </row>
    <row r="63" spans="1:9">
      <c r="A63" s="25"/>
      <c r="B63" s="25"/>
      <c r="C63" s="25"/>
      <c r="D63" s="25"/>
      <c r="E63" s="25"/>
      <c r="F63" s="25"/>
      <c r="G63" s="25"/>
      <c r="H63" s="25"/>
      <c r="I63" s="25"/>
    </row>
    <row r="64" spans="1:9">
      <c r="A64" s="25"/>
      <c r="B64" s="25"/>
      <c r="C64" s="25"/>
      <c r="D64" s="25"/>
      <c r="E64" s="25"/>
      <c r="F64" s="25"/>
      <c r="G64" s="25"/>
      <c r="H64" s="25"/>
      <c r="I64" s="25"/>
    </row>
    <row r="65" spans="1:9">
      <c r="A65" s="25"/>
      <c r="B65" s="25"/>
      <c r="C65" s="25"/>
      <c r="D65" s="25"/>
      <c r="E65" s="25"/>
      <c r="F65" s="25"/>
      <c r="G65" s="25"/>
      <c r="H65" s="25"/>
      <c r="I65" s="25"/>
    </row>
    <row r="66" spans="1:9">
      <c r="A66" s="25"/>
      <c r="B66" s="25"/>
      <c r="C66" s="25"/>
      <c r="D66" s="25"/>
      <c r="E66" s="25"/>
      <c r="F66" s="25"/>
      <c r="G66" s="25"/>
      <c r="H66" s="25"/>
      <c r="I66" s="25"/>
    </row>
    <row r="67" spans="1:9">
      <c r="A67" s="25"/>
      <c r="B67" s="25"/>
      <c r="C67" s="25"/>
      <c r="D67" s="25"/>
      <c r="E67" s="25"/>
      <c r="F67" s="25"/>
      <c r="G67" s="25"/>
      <c r="H67" s="25"/>
      <c r="I67" s="25"/>
    </row>
    <row r="68" spans="1:9">
      <c r="A68" s="25"/>
      <c r="B68" s="25"/>
      <c r="C68" s="25"/>
      <c r="D68" s="25"/>
      <c r="E68" s="25"/>
      <c r="F68" s="25"/>
      <c r="G68" s="25"/>
      <c r="H68" s="25"/>
      <c r="I68" s="25"/>
    </row>
    <row r="69" spans="1:9">
      <c r="A69" s="25"/>
      <c r="B69" s="25"/>
      <c r="C69" s="25"/>
      <c r="D69" s="25"/>
      <c r="E69" s="25"/>
      <c r="F69" s="25"/>
      <c r="G69" s="25"/>
      <c r="H69" s="25"/>
      <c r="I69" s="25"/>
    </row>
    <row r="70" spans="1:9">
      <c r="A70" s="25"/>
      <c r="B70" s="25"/>
      <c r="C70" s="25"/>
      <c r="D70" s="25"/>
      <c r="E70" s="25"/>
      <c r="F70" s="25"/>
      <c r="G70" s="25"/>
      <c r="H70" s="25"/>
      <c r="I70" s="25"/>
    </row>
  </sheetData>
  <mergeCells count="6">
    <mergeCell ref="E4:I4"/>
    <mergeCell ref="E28:I28"/>
    <mergeCell ref="B5:C5"/>
    <mergeCell ref="D5:E5"/>
    <mergeCell ref="F5:G5"/>
    <mergeCell ref="H5:I5"/>
  </mergeCells>
  <dataValidations count="3">
    <dataValidation allowBlank="1" showInputMessage="1" showErrorMessage="1" prompt="förändring i marknads-andelen ackumulerat från årets början t.o.m den aktuella månaden." sqref="I6 I30" xr:uid="{00000000-0002-0000-1200-000000000000}"/>
    <dataValidation allowBlank="1" showInputMessage="1" showErrorMessage="1" prompt="visar antalet registreringar för den aktuella månaden i år." sqref="B6:E6 B30:E30" xr:uid="{00000000-0002-0000-1200-000001000000}"/>
    <dataValidation allowBlank="1" showInputMessage="1" showErrorMessage="1" prompt="förändring i antalet registreringar ackumulerat från årets början t.o.m den aktuella månaden." sqref="G6 G30" xr:uid="{00000000-0002-0000-1200-000002000000}"/>
  </dataValidations>
  <pageMargins left="0.70866141732283472" right="0.70866141732283472" top="0.74803149606299213" bottom="0.74803149606299213" header="0.31496062992125984" footer="0.31496062992125984"/>
  <pageSetup paperSize="9" orientation="landscape" r:id="rId1"/>
  <drawing r:id="rId2"/>
  <tableParts count="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J21"/>
  <sheetViews>
    <sheetView workbookViewId="0">
      <selection activeCell="J6" sqref="J6"/>
    </sheetView>
  </sheetViews>
  <sheetFormatPr baseColWidth="10" defaultColWidth="8.83203125" defaultRowHeight="15"/>
  <cols>
    <col min="1" max="1" width="15.33203125" customWidth="1"/>
    <col min="2" max="9" width="10.33203125" customWidth="1"/>
  </cols>
  <sheetData>
    <row r="1" spans="1:10">
      <c r="A1" s="25"/>
      <c r="B1" s="25"/>
      <c r="C1" s="25"/>
      <c r="D1" s="25"/>
      <c r="E1" s="25"/>
      <c r="F1" s="25"/>
      <c r="G1" s="25"/>
      <c r="H1" s="25"/>
      <c r="I1" s="25"/>
      <c r="J1" s="25"/>
    </row>
    <row r="2" spans="1:10" ht="19.25" customHeight="1" thickBot="1">
      <c r="A2" s="25"/>
      <c r="B2" s="25"/>
      <c r="C2" s="56" t="s">
        <v>566</v>
      </c>
      <c r="D2" s="56"/>
      <c r="E2" s="56"/>
      <c r="F2" s="56"/>
      <c r="G2" s="56"/>
      <c r="H2" s="25"/>
      <c r="I2" s="25"/>
      <c r="J2" s="25"/>
    </row>
    <row r="3" spans="1:10">
      <c r="A3" s="25"/>
      <c r="B3" s="25"/>
      <c r="C3" s="25"/>
      <c r="D3" s="25"/>
      <c r="E3" s="25"/>
      <c r="F3" s="25"/>
      <c r="G3" s="25"/>
      <c r="H3" s="25"/>
      <c r="I3" s="25"/>
      <c r="J3" s="25"/>
    </row>
    <row r="4" spans="1:10">
      <c r="A4" s="7" t="s">
        <v>451</v>
      </c>
      <c r="B4" s="25"/>
      <c r="C4" s="25"/>
      <c r="D4" s="25"/>
      <c r="E4" s="258" t="s">
        <v>452</v>
      </c>
      <c r="F4" s="258"/>
      <c r="G4" s="258"/>
      <c r="H4" s="258"/>
      <c r="I4" s="258"/>
      <c r="J4" s="25"/>
    </row>
    <row r="5" spans="1:10">
      <c r="A5" s="103"/>
      <c r="B5" s="261" t="s">
        <v>535</v>
      </c>
      <c r="C5" s="262"/>
      <c r="D5" s="261" t="s">
        <v>535</v>
      </c>
      <c r="E5" s="262"/>
      <c r="F5" s="272" t="s">
        <v>536</v>
      </c>
      <c r="G5" s="273"/>
      <c r="H5" s="259" t="s">
        <v>537</v>
      </c>
      <c r="I5" s="260"/>
      <c r="J5" s="25"/>
    </row>
    <row r="6" spans="1:10">
      <c r="A6" s="103" t="s">
        <v>463</v>
      </c>
      <c r="B6" s="117" t="str">
        <f>Innehåll!D79</f>
        <v xml:space="preserve"> 2023-09</v>
      </c>
      <c r="C6" s="117" t="str">
        <f>Innehåll!D80</f>
        <v xml:space="preserve"> 2022-09</v>
      </c>
      <c r="D6" s="117" t="str">
        <f>Innehåll!D81</f>
        <v>YTD  2023</v>
      </c>
      <c r="E6" s="117" t="str">
        <f>Innehåll!D82</f>
        <v>YTD  2022</v>
      </c>
      <c r="F6" s="131" t="str">
        <f>B6</f>
        <v xml:space="preserve"> 2023-09</v>
      </c>
      <c r="G6" s="118" t="str">
        <f>D6</f>
        <v>YTD  2023</v>
      </c>
      <c r="H6" s="117" t="str">
        <f>D6</f>
        <v>YTD  2023</v>
      </c>
      <c r="I6" s="132" t="str">
        <f>E6</f>
        <v>YTD  2022</v>
      </c>
      <c r="J6" s="25"/>
    </row>
    <row r="7" spans="1:10" ht="15" hidden="1" customHeight="1">
      <c r="A7" s="25" t="s">
        <v>241</v>
      </c>
      <c r="B7" s="25" t="s">
        <v>26</v>
      </c>
      <c r="C7" s="25" t="s">
        <v>298</v>
      </c>
      <c r="D7" s="25" t="s">
        <v>299</v>
      </c>
      <c r="E7" s="25" t="s">
        <v>300</v>
      </c>
      <c r="F7" s="25" t="s">
        <v>301</v>
      </c>
      <c r="G7" s="25" t="s">
        <v>31</v>
      </c>
      <c r="H7" s="25" t="s">
        <v>302</v>
      </c>
      <c r="I7" s="25" t="s">
        <v>303</v>
      </c>
      <c r="J7" s="25"/>
    </row>
    <row r="8" spans="1:10">
      <c r="A8" s="25" t="s">
        <v>276</v>
      </c>
      <c r="B8" s="25">
        <v>0</v>
      </c>
      <c r="C8" s="25">
        <v>0</v>
      </c>
      <c r="D8" s="25">
        <v>115</v>
      </c>
      <c r="E8" s="25">
        <v>64</v>
      </c>
      <c r="F8" s="25">
        <v>0</v>
      </c>
      <c r="G8" s="25">
        <v>79.7</v>
      </c>
      <c r="H8" s="25">
        <v>47.9</v>
      </c>
      <c r="I8" s="25">
        <v>31.1</v>
      </c>
      <c r="J8" s="25"/>
    </row>
    <row r="9" spans="1:10">
      <c r="A9" s="25" t="s">
        <v>294</v>
      </c>
      <c r="B9" s="25">
        <v>0</v>
      </c>
      <c r="C9" s="25">
        <v>19</v>
      </c>
      <c r="D9" s="25">
        <v>51</v>
      </c>
      <c r="E9" s="25">
        <v>79</v>
      </c>
      <c r="F9" s="58">
        <v>-100</v>
      </c>
      <c r="G9" s="58">
        <v>-35.4</v>
      </c>
      <c r="H9" s="25">
        <v>21.3</v>
      </c>
      <c r="I9" s="25">
        <v>38.299999999999997</v>
      </c>
      <c r="J9" s="25"/>
    </row>
    <row r="10" spans="1:10">
      <c r="A10" s="145" t="s">
        <v>1106</v>
      </c>
      <c r="B10" s="145">
        <v>0</v>
      </c>
      <c r="C10" s="145">
        <v>0</v>
      </c>
      <c r="D10" s="145">
        <v>42</v>
      </c>
      <c r="E10" s="145">
        <v>0</v>
      </c>
      <c r="F10" s="147">
        <v>0</v>
      </c>
      <c r="G10" s="147">
        <v>0</v>
      </c>
      <c r="H10" s="145">
        <v>17.5</v>
      </c>
      <c r="I10" s="145">
        <v>0</v>
      </c>
      <c r="J10" s="25"/>
    </row>
    <row r="11" spans="1:10">
      <c r="A11" s="145" t="s">
        <v>467</v>
      </c>
      <c r="B11" s="145">
        <v>0</v>
      </c>
      <c r="C11" s="145">
        <v>0</v>
      </c>
      <c r="D11" s="145">
        <v>23</v>
      </c>
      <c r="E11" s="145">
        <v>4</v>
      </c>
      <c r="F11" s="147">
        <v>0</v>
      </c>
      <c r="G11" s="147">
        <v>475</v>
      </c>
      <c r="H11" s="145">
        <v>9.6</v>
      </c>
      <c r="I11" s="145">
        <v>1.9</v>
      </c>
      <c r="J11" s="25"/>
    </row>
    <row r="12" spans="1:10">
      <c r="A12" s="145" t="s">
        <v>468</v>
      </c>
      <c r="B12" s="146">
        <v>0</v>
      </c>
      <c r="C12" s="145">
        <v>0</v>
      </c>
      <c r="D12" s="146">
        <v>4</v>
      </c>
      <c r="E12" s="145">
        <v>4</v>
      </c>
      <c r="F12" s="145">
        <v>0</v>
      </c>
      <c r="G12" s="145">
        <v>0</v>
      </c>
      <c r="H12" s="145">
        <v>1.7</v>
      </c>
      <c r="I12" s="145">
        <v>1.9</v>
      </c>
      <c r="J12" s="25"/>
    </row>
    <row r="13" spans="1:10">
      <c r="A13" s="145" t="s">
        <v>674</v>
      </c>
      <c r="B13" s="145">
        <v>0</v>
      </c>
      <c r="C13" s="145">
        <v>0</v>
      </c>
      <c r="D13" s="145">
        <v>0</v>
      </c>
      <c r="E13" s="145">
        <v>25</v>
      </c>
      <c r="F13" s="145">
        <v>0</v>
      </c>
      <c r="G13" s="145">
        <v>-100</v>
      </c>
      <c r="H13" s="145">
        <v>0</v>
      </c>
      <c r="I13" s="145">
        <v>12.1</v>
      </c>
      <c r="J13" s="25"/>
    </row>
    <row r="14" spans="1:10" s="5" customFormat="1">
      <c r="A14" s="145" t="s">
        <v>295</v>
      </c>
      <c r="B14" s="145">
        <v>4</v>
      </c>
      <c r="C14" s="145">
        <v>0</v>
      </c>
      <c r="D14" s="145">
        <v>5</v>
      </c>
      <c r="E14" s="145">
        <v>30</v>
      </c>
      <c r="F14" s="145">
        <v>0</v>
      </c>
      <c r="G14" s="145">
        <v>-83.3</v>
      </c>
      <c r="H14" s="145">
        <v>2.1</v>
      </c>
      <c r="I14" s="145">
        <v>14.6</v>
      </c>
      <c r="J14" s="38"/>
    </row>
    <row r="15" spans="1:10">
      <c r="A15" s="145" t="s">
        <v>454</v>
      </c>
      <c r="B15" s="145">
        <f>SUBTOTAL(109,Table_bdsql12_BDnewRegistrations_getAggBussEL[antalPerioden])</f>
        <v>4</v>
      </c>
      <c r="C15" s="145">
        <f>SUBTOTAL(109,Table_bdsql12_BDnewRegistrations_getAggBussEL[antalPeriodenFG])</f>
        <v>19</v>
      </c>
      <c r="D15" s="145">
        <f>SUBTOTAL(109,Table_bdsql12_BDnewRegistrations_getAggBussEL[antalAret])</f>
        <v>240</v>
      </c>
      <c r="E15" s="145">
        <f>SUBTOTAL(109,Table_bdsql12_BDnewRegistrations_getAggBussEL[antalAretFG])</f>
        <v>206</v>
      </c>
      <c r="F15" s="147">
        <f>IF(Table_bdsql12_BDnewRegistrations_getAggBussEL[[#Totals],[antalPeriodenFG]] &gt; 0,( Table_bdsql12_BDnewRegistrations_getAggBussEL[[#Totals],[antalPerioden]] - Table_bdsql12_BDnewRegistrations_getAggBussEL[[#Totals],[antalPeriodenFG]]) / Table_bdsql12_BDnewRegistrations_getAggBussEL[[#Totals],[antalPeriodenFG]] * 100,0)</f>
        <v>-78.94736842105263</v>
      </c>
      <c r="G15" s="147">
        <f>IF(Table_bdsql12_BDnewRegistrations_getAggBussEL[[#Totals],[antalAretFG]] &gt; 0,( Table_bdsql12_BDnewRegistrations_getAggBussEL[[#Totals],[antalAret]] - Table_bdsql12_BDnewRegistrations_getAggBussEL[[#Totals],[antalAretFG]] ) / Table_bdsql12_BDnewRegistrations_getAggBussEL[[#Totals],[antalAretFG]] * 100,0)</f>
        <v>16.50485436893204</v>
      </c>
      <c r="H15" s="149" t="str">
        <f>TEXT(100,"0,0")</f>
        <v>100,0</v>
      </c>
      <c r="I15" s="149" t="str">
        <f>TEXT(100,"0,0")</f>
        <v>100,0</v>
      </c>
      <c r="J15" s="25"/>
    </row>
    <row r="16" spans="1:10">
      <c r="A16" s="25"/>
      <c r="B16" s="25"/>
      <c r="C16" s="25"/>
      <c r="D16" s="25"/>
      <c r="E16" s="25"/>
      <c r="F16" s="25"/>
      <c r="G16" s="25"/>
      <c r="H16" s="25"/>
      <c r="I16" s="25"/>
      <c r="J16" s="25"/>
    </row>
    <row r="17" spans="1:10">
      <c r="A17" s="25"/>
      <c r="B17" s="25"/>
      <c r="C17" s="25"/>
      <c r="D17" s="25"/>
      <c r="E17" s="25"/>
      <c r="F17" s="25"/>
      <c r="G17" s="25"/>
      <c r="H17" s="25"/>
      <c r="I17" s="25"/>
      <c r="J17" s="25"/>
    </row>
    <row r="18" spans="1:10">
      <c r="A18" s="25"/>
      <c r="B18" s="25"/>
      <c r="C18" s="25"/>
      <c r="D18" s="25"/>
      <c r="E18" s="25"/>
      <c r="F18" s="25"/>
      <c r="G18" s="25"/>
      <c r="H18" s="25"/>
      <c r="I18" s="25"/>
      <c r="J18" s="25"/>
    </row>
    <row r="19" spans="1:10">
      <c r="A19" s="25"/>
      <c r="B19" s="25"/>
      <c r="C19" s="25"/>
      <c r="D19" s="25"/>
      <c r="E19" s="25"/>
      <c r="F19" s="25"/>
      <c r="G19" s="25"/>
      <c r="H19" s="25"/>
      <c r="I19" s="25"/>
      <c r="J19" s="25"/>
    </row>
    <row r="20" spans="1:10">
      <c r="A20" s="25" t="s">
        <v>678</v>
      </c>
      <c r="B20" s="25"/>
      <c r="C20" s="25"/>
      <c r="D20" s="25"/>
      <c r="E20" s="25"/>
      <c r="F20" s="25"/>
      <c r="G20" s="25"/>
      <c r="H20" s="25"/>
      <c r="I20" s="25"/>
      <c r="J20" s="25"/>
    </row>
    <row r="21" spans="1:10">
      <c r="A21" s="25"/>
      <c r="B21" s="25"/>
      <c r="C21" s="25"/>
      <c r="D21" s="25"/>
      <c r="E21" s="25"/>
      <c r="F21" s="25"/>
      <c r="G21" s="25"/>
      <c r="H21" s="25"/>
      <c r="I21" s="25"/>
      <c r="J21" s="25"/>
    </row>
  </sheetData>
  <mergeCells count="5">
    <mergeCell ref="E4:I4"/>
    <mergeCell ref="B5:C5"/>
    <mergeCell ref="D5:E5"/>
    <mergeCell ref="F5:G5"/>
    <mergeCell ref="H5:I5"/>
  </mergeCells>
  <dataValidations count="3">
    <dataValidation allowBlank="1" showInputMessage="1" showErrorMessage="1" prompt="förändring i antalet registreringar ackumulerat från årets början t.o.m den aktuella månaden." sqref="G6" xr:uid="{00000000-0002-0000-1300-000000000000}"/>
    <dataValidation allowBlank="1" showInputMessage="1" showErrorMessage="1" prompt="visar antalet registreringar för den aktuella månaden i år." sqref="B6:E6" xr:uid="{00000000-0002-0000-1300-000001000000}"/>
    <dataValidation allowBlank="1" showInputMessage="1" showErrorMessage="1" prompt="förändring i marknads-andelen ackumulerat från årets början t.o.m den aktuella månaden." sqref="I6" xr:uid="{00000000-0002-0000-1300-000002000000}"/>
  </dataValidations>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V98"/>
  <sheetViews>
    <sheetView workbookViewId="0">
      <selection activeCell="O2" sqref="O2"/>
    </sheetView>
  </sheetViews>
  <sheetFormatPr baseColWidth="10" defaultColWidth="8.83203125" defaultRowHeight="15"/>
  <cols>
    <col min="1" max="1" width="15.83203125" customWidth="1"/>
    <col min="2" max="2" width="6.33203125" customWidth="1"/>
    <col min="3" max="4" width="9.6640625" customWidth="1"/>
    <col min="5" max="5" width="10" customWidth="1"/>
    <col min="6" max="8" width="10.1640625" customWidth="1"/>
    <col min="17" max="17" width="12.6640625" customWidth="1"/>
  </cols>
  <sheetData>
    <row r="3" spans="17:21" ht="20" thickBot="1">
      <c r="Q3" s="66" t="s">
        <v>474</v>
      </c>
      <c r="R3" s="66"/>
      <c r="S3" s="66"/>
      <c r="T3" s="66"/>
      <c r="U3" s="92"/>
    </row>
    <row r="4" spans="17:21">
      <c r="Q4" s="25"/>
      <c r="R4" s="25"/>
      <c r="S4" s="25"/>
      <c r="T4" s="25"/>
      <c r="U4" s="25"/>
    </row>
    <row r="5" spans="17:21" ht="16" thickBot="1">
      <c r="Q5" s="19" t="s">
        <v>455</v>
      </c>
      <c r="R5" s="19">
        <v>2021</v>
      </c>
      <c r="S5" s="19">
        <v>2022</v>
      </c>
      <c r="T5" s="19">
        <v>2023</v>
      </c>
      <c r="U5" s="25"/>
    </row>
    <row r="6" spans="17:21">
      <c r="Q6" s="30" t="s">
        <v>2</v>
      </c>
      <c r="R6" s="30">
        <v>20573</v>
      </c>
      <c r="S6" s="30">
        <v>19893</v>
      </c>
      <c r="T6" s="30">
        <v>14601</v>
      </c>
      <c r="U6" s="25"/>
    </row>
    <row r="7" spans="17:21">
      <c r="Q7" s="30" t="s">
        <v>3</v>
      </c>
      <c r="R7" s="30">
        <v>22837</v>
      </c>
      <c r="S7" s="30">
        <v>21136</v>
      </c>
      <c r="T7" s="30">
        <v>18442</v>
      </c>
      <c r="U7" s="25"/>
    </row>
    <row r="8" spans="17:21">
      <c r="Q8" s="30" t="s">
        <v>4</v>
      </c>
      <c r="R8" s="30">
        <v>47460</v>
      </c>
      <c r="S8" s="30">
        <v>28710</v>
      </c>
      <c r="T8" s="30">
        <v>30261</v>
      </c>
      <c r="U8" s="25"/>
    </row>
    <row r="9" spans="17:21">
      <c r="Q9" s="30" t="s">
        <v>5</v>
      </c>
      <c r="R9" s="30">
        <v>21871</v>
      </c>
      <c r="S9" s="30">
        <v>21942</v>
      </c>
      <c r="T9" s="30">
        <v>20586</v>
      </c>
      <c r="U9" s="25"/>
    </row>
    <row r="10" spans="17:21">
      <c r="Q10" s="30" t="s">
        <v>6</v>
      </c>
      <c r="R10" s="30">
        <v>24327</v>
      </c>
      <c r="S10" s="30">
        <v>26413</v>
      </c>
      <c r="T10" s="30">
        <v>28490</v>
      </c>
      <c r="U10" s="25"/>
    </row>
    <row r="11" spans="17:21">
      <c r="Q11" s="30" t="s">
        <v>7</v>
      </c>
      <c r="R11" s="30">
        <v>36095</v>
      </c>
      <c r="S11" s="30">
        <v>26088</v>
      </c>
      <c r="T11" s="30">
        <v>28283</v>
      </c>
      <c r="U11" s="25"/>
    </row>
    <row r="12" spans="17:21">
      <c r="Q12" s="30" t="s">
        <v>8</v>
      </c>
      <c r="R12" s="30">
        <v>16778</v>
      </c>
      <c r="S12" s="30">
        <v>17834</v>
      </c>
      <c r="T12" s="30">
        <v>17300</v>
      </c>
      <c r="U12" s="25"/>
    </row>
    <row r="13" spans="17:21">
      <c r="Q13" s="30" t="s">
        <v>9</v>
      </c>
      <c r="R13" s="30">
        <v>19808</v>
      </c>
      <c r="S13" s="30">
        <v>20576</v>
      </c>
      <c r="T13" s="30">
        <v>23871</v>
      </c>
      <c r="U13" s="25"/>
    </row>
    <row r="14" spans="17:21">
      <c r="Q14" s="30" t="s">
        <v>10</v>
      </c>
      <c r="R14" s="30">
        <v>22634</v>
      </c>
      <c r="S14" s="30">
        <v>22048</v>
      </c>
      <c r="T14" s="30">
        <v>28135</v>
      </c>
      <c r="U14" s="25"/>
    </row>
    <row r="15" spans="17:21">
      <c r="Q15" s="30" t="s">
        <v>11</v>
      </c>
      <c r="R15" s="30">
        <v>19962</v>
      </c>
      <c r="S15" s="30">
        <v>22383</v>
      </c>
      <c r="T15" s="30"/>
      <c r="U15" s="25"/>
    </row>
    <row r="16" spans="17:21">
      <c r="Q16" s="30" t="s">
        <v>12</v>
      </c>
      <c r="R16" s="30">
        <v>21056</v>
      </c>
      <c r="S16" s="30">
        <v>25588</v>
      </c>
      <c r="T16" s="30"/>
      <c r="U16" s="25"/>
    </row>
    <row r="17" spans="17:21">
      <c r="Q17" s="30" t="s">
        <v>13</v>
      </c>
      <c r="R17" s="30">
        <v>27582</v>
      </c>
      <c r="S17" s="30">
        <v>35476</v>
      </c>
      <c r="T17" s="30"/>
      <c r="U17" s="25"/>
    </row>
    <row r="18" spans="17:21">
      <c r="Q18" s="28" t="s">
        <v>534</v>
      </c>
      <c r="R18" s="28">
        <f>SUMIF(T6:T17,"&gt;0",R6:R17)</f>
        <v>232383</v>
      </c>
      <c r="S18" s="28">
        <f>SUMIF(T6:T17,"&gt;0",S6:S17)</f>
        <v>204640</v>
      </c>
      <c r="T18" s="28">
        <f>SUM(T6:T17)</f>
        <v>209969</v>
      </c>
      <c r="U18" s="25"/>
    </row>
    <row r="19" spans="17:21">
      <c r="Q19" s="32" t="s">
        <v>533</v>
      </c>
      <c r="R19" s="32">
        <f>SUM(R6:R17)</f>
        <v>300983</v>
      </c>
      <c r="S19" s="32">
        <f>SUM(S6:S17)</f>
        <v>288087</v>
      </c>
      <c r="T19" s="32"/>
      <c r="U19" s="25"/>
    </row>
    <row r="20" spans="17:21">
      <c r="Q20" s="25"/>
      <c r="R20" s="25"/>
      <c r="S20" s="25"/>
      <c r="T20" s="25"/>
      <c r="U20" s="25"/>
    </row>
    <row r="21" spans="17:21">
      <c r="Q21" s="30" t="s">
        <v>452</v>
      </c>
      <c r="R21" s="25"/>
      <c r="S21" s="25"/>
      <c r="T21" s="25"/>
      <c r="U21" s="25"/>
    </row>
    <row r="22" spans="17:21">
      <c r="Q22" s="25"/>
      <c r="R22" s="25"/>
      <c r="S22" s="25"/>
      <c r="T22" s="25"/>
      <c r="U22" s="25"/>
    </row>
    <row r="23" spans="17:21" ht="17" thickBot="1">
      <c r="Q23" s="66" t="s">
        <v>546</v>
      </c>
      <c r="R23" s="66"/>
      <c r="S23" s="66"/>
      <c r="T23" s="66"/>
      <c r="U23" s="66"/>
    </row>
    <row r="24" spans="17:21">
      <c r="Q24" s="25"/>
      <c r="R24" s="25"/>
      <c r="S24" s="25"/>
      <c r="T24" s="25"/>
      <c r="U24" s="25"/>
    </row>
    <row r="25" spans="17:21">
      <c r="Q25" s="93" t="s">
        <v>543</v>
      </c>
      <c r="R25" s="94" t="s">
        <v>522</v>
      </c>
      <c r="S25" s="94" t="str">
        <f>[0]!Manaden</f>
        <v>September</v>
      </c>
      <c r="T25" s="94" t="s">
        <v>534</v>
      </c>
      <c r="U25" s="25"/>
    </row>
    <row r="26" spans="17:21">
      <c r="Q26" s="55" t="s">
        <v>544</v>
      </c>
      <c r="R26" s="55">
        <v>2023</v>
      </c>
      <c r="S26" s="55">
        <v>695</v>
      </c>
      <c r="T26" s="55">
        <v>5863</v>
      </c>
      <c r="U26" s="25"/>
    </row>
    <row r="27" spans="17:21">
      <c r="Q27" s="55" t="s">
        <v>544</v>
      </c>
      <c r="R27" s="55">
        <v>2022</v>
      </c>
      <c r="S27" s="55">
        <v>850</v>
      </c>
      <c r="T27" s="55">
        <v>7608</v>
      </c>
      <c r="U27" s="25"/>
    </row>
    <row r="28" spans="17:21">
      <c r="Q28" s="55" t="s">
        <v>545</v>
      </c>
      <c r="R28" s="55">
        <v>2023</v>
      </c>
      <c r="S28" s="55">
        <v>68</v>
      </c>
      <c r="T28" s="55">
        <v>542</v>
      </c>
      <c r="U28" s="25"/>
    </row>
    <row r="29" spans="17:21">
      <c r="Q29" s="55" t="s">
        <v>545</v>
      </c>
      <c r="R29" s="55">
        <v>2022</v>
      </c>
      <c r="S29" s="55">
        <v>100</v>
      </c>
      <c r="T29" s="55">
        <v>911</v>
      </c>
      <c r="U29" s="25"/>
    </row>
    <row r="30" spans="17:21">
      <c r="Q30" s="25"/>
      <c r="R30" s="25"/>
      <c r="S30" s="25"/>
      <c r="T30" s="25"/>
      <c r="U30" s="25"/>
    </row>
    <row r="31" spans="17:21">
      <c r="Q31" s="30" t="s">
        <v>547</v>
      </c>
      <c r="R31" s="25"/>
      <c r="S31" s="25"/>
      <c r="T31" s="25"/>
      <c r="U31" s="25"/>
    </row>
    <row r="32" spans="17:21">
      <c r="Q32" s="25"/>
      <c r="R32" s="25"/>
      <c r="S32" s="25"/>
      <c r="T32" s="25"/>
      <c r="U32" s="25"/>
    </row>
    <row r="33" spans="14:22">
      <c r="Q33" s="25"/>
      <c r="R33" s="25"/>
      <c r="S33" s="25"/>
      <c r="T33" s="25"/>
      <c r="U33" s="25"/>
    </row>
    <row r="34" spans="14:22">
      <c r="Q34" s="25"/>
      <c r="R34" s="25"/>
      <c r="S34" s="25"/>
      <c r="T34" s="25"/>
      <c r="U34" s="25"/>
    </row>
    <row r="35" spans="14:22" ht="21" thickBot="1">
      <c r="Q35" s="66" t="s">
        <v>14</v>
      </c>
      <c r="R35" s="66"/>
      <c r="S35" s="66"/>
      <c r="T35" s="66"/>
      <c r="U35" s="66"/>
      <c r="V35" s="9"/>
    </row>
    <row r="36" spans="14:22">
      <c r="Q36" s="25"/>
      <c r="R36" s="25"/>
      <c r="S36" s="25"/>
      <c r="T36" s="25"/>
      <c r="U36" s="25"/>
    </row>
    <row r="37" spans="14:22">
      <c r="Q37" s="30" t="s">
        <v>438</v>
      </c>
      <c r="R37" s="57">
        <v>-3.3053030671268169</v>
      </c>
      <c r="S37" s="25"/>
      <c r="T37" s="25"/>
      <c r="U37" s="25"/>
    </row>
    <row r="38" spans="14:22">
      <c r="Q38" s="30" t="s">
        <v>501</v>
      </c>
      <c r="R38" s="57">
        <v>5.2687378998801515</v>
      </c>
      <c r="S38" s="25"/>
      <c r="T38" s="25"/>
      <c r="U38" s="25"/>
    </row>
    <row r="39" spans="14:22">
      <c r="Q39" s="30" t="s">
        <v>561</v>
      </c>
      <c r="R39" s="57">
        <v>71.651777641144349</v>
      </c>
      <c r="S39" s="25"/>
      <c r="T39" s="25"/>
      <c r="U39" s="25"/>
    </row>
    <row r="40" spans="14:22">
      <c r="Q40" s="30" t="s">
        <v>576</v>
      </c>
      <c r="R40" s="57">
        <v>15.621695918798901</v>
      </c>
      <c r="S40" s="25"/>
      <c r="T40" s="25"/>
      <c r="U40" s="25"/>
    </row>
    <row r="41" spans="14:22">
      <c r="Q41" s="30" t="s">
        <v>590</v>
      </c>
      <c r="R41" s="57">
        <v>53.183048926390029</v>
      </c>
      <c r="S41" s="25"/>
      <c r="T41" s="25"/>
      <c r="U41" s="25"/>
    </row>
    <row r="42" spans="14:22">
      <c r="Q42" s="30" t="s">
        <v>597</v>
      </c>
      <c r="R42" s="57">
        <v>45.856063361215497</v>
      </c>
      <c r="S42" s="25"/>
      <c r="T42" s="25"/>
      <c r="U42" s="25"/>
    </row>
    <row r="43" spans="14:22">
      <c r="N43" s="35"/>
      <c r="Q43" s="30" t="s">
        <v>602</v>
      </c>
      <c r="R43" s="57">
        <v>-26.146667840478916</v>
      </c>
      <c r="S43" s="25"/>
      <c r="T43" s="25"/>
      <c r="U43" s="25"/>
    </row>
    <row r="44" spans="14:22">
      <c r="Q44" s="30" t="s">
        <v>604</v>
      </c>
      <c r="R44" s="57">
        <v>-22.388527544863255</v>
      </c>
      <c r="S44" s="25"/>
      <c r="T44" s="25"/>
      <c r="U44" s="25"/>
    </row>
    <row r="45" spans="14:22">
      <c r="Q45" s="30" t="s">
        <v>612</v>
      </c>
      <c r="R45" s="57">
        <v>-21.188063651241336</v>
      </c>
      <c r="S45" s="25"/>
      <c r="T45" s="25"/>
      <c r="U45" s="25"/>
    </row>
    <row r="46" spans="14:22">
      <c r="Q46" s="30" t="s">
        <v>631</v>
      </c>
      <c r="R46" s="57">
        <v>-29.079475610189366</v>
      </c>
      <c r="S46" s="25"/>
      <c r="T46" s="25"/>
      <c r="U46" s="25"/>
    </row>
    <row r="47" spans="14:22">
      <c r="Q47" s="30" t="s">
        <v>640</v>
      </c>
      <c r="R47" s="57">
        <v>-20.755711113620112</v>
      </c>
      <c r="S47" s="25"/>
      <c r="T47" s="25"/>
      <c r="U47" s="25"/>
    </row>
    <row r="48" spans="14:22">
      <c r="Q48" s="30" t="s">
        <v>649</v>
      </c>
      <c r="R48" s="57">
        <v>-20.42582655357452</v>
      </c>
      <c r="S48" s="25"/>
      <c r="T48" s="25"/>
      <c r="U48" s="25"/>
    </row>
    <row r="49" spans="17:21">
      <c r="Q49" s="30" t="s">
        <v>658</v>
      </c>
      <c r="R49" s="57">
        <f>((S6-R6)/R6)*100</f>
        <v>-3.3053030671268169</v>
      </c>
      <c r="S49" s="25"/>
      <c r="T49" s="25"/>
      <c r="U49" s="25"/>
    </row>
    <row r="50" spans="17:21">
      <c r="Q50" s="30" t="s">
        <v>673</v>
      </c>
      <c r="R50" s="57">
        <f t="shared" ref="R50:R60" si="0">((S7-R7)/R7)*100</f>
        <v>-7.4484389368130666</v>
      </c>
      <c r="S50" s="25"/>
      <c r="T50" s="25"/>
      <c r="U50" s="25"/>
    </row>
    <row r="51" spans="17:21">
      <c r="Q51" s="30" t="s">
        <v>691</v>
      </c>
      <c r="R51" s="57">
        <f t="shared" si="0"/>
        <v>-39.506953223767383</v>
      </c>
      <c r="S51" s="25"/>
      <c r="T51" s="25"/>
      <c r="U51" s="25"/>
    </row>
    <row r="52" spans="17:21">
      <c r="Q52" s="30" t="s">
        <v>700</v>
      </c>
      <c r="R52" s="57">
        <f t="shared" si="0"/>
        <v>0.32463078963010383</v>
      </c>
      <c r="S52" s="25"/>
      <c r="T52" s="25"/>
      <c r="U52" s="25"/>
    </row>
    <row r="53" spans="17:21">
      <c r="Q53" s="30" t="s">
        <v>706</v>
      </c>
      <c r="R53" s="57">
        <f t="shared" si="0"/>
        <v>8.5748345459777209</v>
      </c>
      <c r="S53" s="25"/>
      <c r="T53" s="25"/>
      <c r="U53" s="25"/>
    </row>
    <row r="54" spans="17:21">
      <c r="Q54" s="30" t="s">
        <v>709</v>
      </c>
      <c r="R54" s="57">
        <f t="shared" si="0"/>
        <v>-27.724061504363483</v>
      </c>
      <c r="S54" s="25"/>
      <c r="T54" s="25"/>
      <c r="U54" s="25"/>
    </row>
    <row r="55" spans="17:21">
      <c r="Q55" s="30" t="s">
        <v>984</v>
      </c>
      <c r="R55" s="57">
        <f t="shared" si="0"/>
        <v>6.2939563714387887</v>
      </c>
      <c r="S55" s="25"/>
      <c r="T55" s="25"/>
      <c r="U55" s="25"/>
    </row>
    <row r="56" spans="17:21">
      <c r="Q56" s="30" t="s">
        <v>991</v>
      </c>
      <c r="R56" s="57">
        <f t="shared" si="0"/>
        <v>3.877221324717286</v>
      </c>
      <c r="S56" s="25"/>
      <c r="T56" s="25"/>
      <c r="U56" s="25"/>
    </row>
    <row r="57" spans="17:21">
      <c r="Q57" s="30" t="s">
        <v>1005</v>
      </c>
      <c r="R57" s="57">
        <f t="shared" si="0"/>
        <v>-2.5890253600777591</v>
      </c>
      <c r="S57" s="25"/>
      <c r="T57" s="25"/>
      <c r="U57" s="25"/>
    </row>
    <row r="58" spans="17:21">
      <c r="Q58" s="30" t="s">
        <v>1015</v>
      </c>
      <c r="R58" s="57">
        <f t="shared" si="0"/>
        <v>12.128043282236249</v>
      </c>
      <c r="S58" s="25"/>
      <c r="T58" s="25"/>
      <c r="U58" s="25"/>
    </row>
    <row r="59" spans="17:21">
      <c r="Q59" s="30" t="s">
        <v>1027</v>
      </c>
      <c r="R59" s="57">
        <f t="shared" si="0"/>
        <v>21.523556231003038</v>
      </c>
      <c r="S59" s="25"/>
      <c r="T59" s="25"/>
      <c r="U59" s="25"/>
    </row>
    <row r="60" spans="17:21">
      <c r="Q60" s="30" t="s">
        <v>1042</v>
      </c>
      <c r="R60" s="57">
        <f t="shared" si="0"/>
        <v>28.620114567471539</v>
      </c>
      <c r="S60" s="25"/>
      <c r="T60" s="25"/>
      <c r="U60" s="25"/>
    </row>
    <row r="61" spans="17:21">
      <c r="Q61" s="30" t="s">
        <v>1070</v>
      </c>
      <c r="R61" s="57">
        <f t="shared" ref="R61:R66" si="1">((T6-S6)/S6)*100</f>
        <v>-26.602322424973607</v>
      </c>
      <c r="S61" s="25"/>
      <c r="T61" s="25"/>
      <c r="U61" s="25"/>
    </row>
    <row r="62" spans="17:21">
      <c r="Q62" s="223" t="s">
        <v>1107</v>
      </c>
      <c r="R62" s="57">
        <f t="shared" si="1"/>
        <v>-12.746025738077213</v>
      </c>
      <c r="S62" s="25"/>
      <c r="T62" s="25"/>
      <c r="U62" s="25"/>
    </row>
    <row r="63" spans="17:21">
      <c r="Q63" s="223" t="s">
        <v>1140</v>
      </c>
      <c r="R63" s="57">
        <f t="shared" si="1"/>
        <v>5.4022988505747129</v>
      </c>
      <c r="S63" s="25"/>
      <c r="T63" s="25"/>
      <c r="U63" s="25"/>
    </row>
    <row r="64" spans="17:21">
      <c r="Q64" s="223" t="s">
        <v>1164</v>
      </c>
      <c r="R64" s="57">
        <f t="shared" si="1"/>
        <v>-6.179928903472792</v>
      </c>
      <c r="S64" s="25"/>
      <c r="T64" s="25"/>
      <c r="U64" s="25"/>
    </row>
    <row r="65" spans="1:21">
      <c r="A65" s="95"/>
      <c r="Q65" s="223" t="s">
        <v>1190</v>
      </c>
      <c r="R65" s="57">
        <f t="shared" si="1"/>
        <v>7.8635520387687885</v>
      </c>
      <c r="S65" s="25"/>
      <c r="T65" s="25"/>
      <c r="U65" s="25"/>
    </row>
    <row r="66" spans="1:21">
      <c r="Q66" s="223" t="s">
        <v>1219</v>
      </c>
      <c r="R66" s="57">
        <f t="shared" si="1"/>
        <v>8.4138301134621294</v>
      </c>
      <c r="S66" s="25"/>
      <c r="T66" s="25"/>
      <c r="U66" s="25"/>
    </row>
    <row r="67" spans="1:21">
      <c r="A67" s="95" t="s">
        <v>678</v>
      </c>
      <c r="Q67" s="223" t="s">
        <v>1227</v>
      </c>
      <c r="R67" s="57">
        <f>((T12-S12)/S12)*100</f>
        <v>-2.9942805876415837</v>
      </c>
      <c r="S67" s="25"/>
      <c r="T67" s="25"/>
      <c r="U67" s="25"/>
    </row>
    <row r="68" spans="1:21">
      <c r="Q68" s="223" t="s">
        <v>1241</v>
      </c>
      <c r="R68" s="57">
        <f>((T13-S13)/S13)*100</f>
        <v>16.013802488335926</v>
      </c>
      <c r="S68" s="25"/>
      <c r="T68" s="25"/>
      <c r="U68" s="25"/>
    </row>
    <row r="69" spans="1:21">
      <c r="Q69" s="223" t="s">
        <v>1281</v>
      </c>
      <c r="R69" s="57">
        <f>((T14-S14)/S14)*100</f>
        <v>27.607946298984036</v>
      </c>
      <c r="S69" s="25"/>
      <c r="T69" s="25"/>
      <c r="U69" s="25"/>
    </row>
    <row r="70" spans="1:21">
      <c r="Q70" s="30"/>
      <c r="R70" s="57"/>
      <c r="S70" s="25"/>
      <c r="T70" s="25"/>
      <c r="U70" s="25"/>
    </row>
    <row r="71" spans="1:21">
      <c r="Q71" s="30"/>
      <c r="R71" s="57"/>
      <c r="S71" s="25"/>
      <c r="T71" s="25"/>
      <c r="U71" s="25"/>
    </row>
    <row r="72" spans="1:21">
      <c r="R72" s="57"/>
      <c r="S72" s="25"/>
      <c r="T72" s="25"/>
      <c r="U72" s="25"/>
    </row>
    <row r="73" spans="1:21">
      <c r="Q73" s="25"/>
      <c r="R73" s="57"/>
      <c r="S73" s="25"/>
      <c r="T73" s="25"/>
      <c r="U73" s="25"/>
    </row>
    <row r="74" spans="1:21">
      <c r="Q74" s="25"/>
      <c r="R74" s="58"/>
      <c r="S74" s="25"/>
      <c r="T74" s="25"/>
      <c r="U74" s="25"/>
    </row>
    <row r="75" spans="1:21">
      <c r="Q75" s="25"/>
      <c r="R75" s="25"/>
      <c r="S75" s="25"/>
      <c r="T75" s="25"/>
      <c r="U75" s="25"/>
    </row>
    <row r="76" spans="1:21">
      <c r="Q76" s="25"/>
      <c r="R76" s="25"/>
      <c r="S76" s="25"/>
      <c r="T76" s="25"/>
      <c r="U76" s="25"/>
    </row>
    <row r="77" spans="1:21">
      <c r="Q77" s="25"/>
      <c r="R77" s="25"/>
      <c r="S77" s="25"/>
      <c r="T77" s="25"/>
      <c r="U77" s="25"/>
    </row>
    <row r="78" spans="1:21">
      <c r="A78" s="18"/>
      <c r="Q78" s="25"/>
      <c r="R78" s="25"/>
      <c r="S78" s="25"/>
      <c r="T78" s="25"/>
      <c r="U78" s="25"/>
    </row>
    <row r="88" spans="17:18">
      <c r="Q88" s="8"/>
      <c r="R88" s="8"/>
    </row>
    <row r="89" spans="17:18">
      <c r="Q89" s="8"/>
      <c r="R89" s="8"/>
    </row>
    <row r="90" spans="17:18">
      <c r="Q90" s="8"/>
      <c r="R90" s="8"/>
    </row>
    <row r="91" spans="17:18">
      <c r="Q91" s="8"/>
      <c r="R91" s="8"/>
    </row>
    <row r="92" spans="17:18">
      <c r="Q92" s="8"/>
      <c r="R92" s="8"/>
    </row>
    <row r="93" spans="17:18">
      <c r="Q93" s="8"/>
      <c r="R93" s="8"/>
    </row>
    <row r="94" spans="17:18">
      <c r="R94" s="8"/>
    </row>
    <row r="95" spans="17:18">
      <c r="R95" s="8"/>
    </row>
    <row r="96" spans="17:18">
      <c r="R96" s="8"/>
    </row>
    <row r="97" spans="18:18">
      <c r="R97" s="8"/>
    </row>
    <row r="98" spans="18:18">
      <c r="R98" s="8"/>
    </row>
  </sheetData>
  <pageMargins left="0.70866141732283472" right="0.70866141732283472" top="0.74803149606299213" bottom="0.74803149606299213" header="0.31496062992125984" footer="0.31496062992125984"/>
  <pageSetup paperSize="9" orientation="landscape"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dimension ref="A2:Q60"/>
  <sheetViews>
    <sheetView workbookViewId="0">
      <pane ySplit="6" topLeftCell="A7" activePane="bottomLeft" state="frozen"/>
      <selection pane="bottomLeft"/>
    </sheetView>
  </sheetViews>
  <sheetFormatPr baseColWidth="10" defaultColWidth="8.83203125" defaultRowHeight="15"/>
  <cols>
    <col min="1" max="1" width="9.83203125" customWidth="1"/>
    <col min="2" max="2" width="6.33203125" customWidth="1"/>
    <col min="3" max="3" width="9.5" customWidth="1"/>
    <col min="4" max="15" width="5.6640625" customWidth="1"/>
  </cols>
  <sheetData>
    <row r="2" spans="1:17" ht="19.25" customHeight="1" thickBot="1">
      <c r="D2" s="56" t="s">
        <v>524</v>
      </c>
      <c r="E2" s="56"/>
      <c r="F2" s="56"/>
      <c r="G2" s="56"/>
      <c r="H2" s="56"/>
      <c r="I2" s="56"/>
      <c r="J2" s="56"/>
      <c r="K2" s="56"/>
      <c r="L2" s="56"/>
    </row>
    <row r="3" spans="1:17" ht="20.25" customHeight="1"/>
    <row r="4" spans="1:17">
      <c r="A4" s="55" t="s">
        <v>523</v>
      </c>
      <c r="B4" s="25"/>
      <c r="C4" s="25"/>
      <c r="D4" s="25"/>
      <c r="E4" s="80"/>
      <c r="F4" s="80"/>
      <c r="G4" s="258" t="s">
        <v>452</v>
      </c>
      <c r="H4" s="258"/>
      <c r="I4" s="258"/>
      <c r="J4" s="258"/>
      <c r="K4" s="258"/>
      <c r="L4" s="258"/>
      <c r="M4" s="258"/>
      <c r="N4" s="258"/>
      <c r="O4" s="258"/>
      <c r="P4" s="25"/>
      <c r="Q4" s="25"/>
    </row>
    <row r="5" spans="1:17">
      <c r="A5" s="103" t="s">
        <v>463</v>
      </c>
      <c r="B5" s="103" t="s">
        <v>522</v>
      </c>
      <c r="C5" s="212" t="s">
        <v>534</v>
      </c>
      <c r="D5" s="212" t="s">
        <v>2</v>
      </c>
      <c r="E5" s="212" t="s">
        <v>3</v>
      </c>
      <c r="F5" s="212" t="s">
        <v>521</v>
      </c>
      <c r="G5" s="212" t="s">
        <v>520</v>
      </c>
      <c r="H5" s="212" t="s">
        <v>6</v>
      </c>
      <c r="I5" s="212" t="s">
        <v>519</v>
      </c>
      <c r="J5" s="212" t="s">
        <v>518</v>
      </c>
      <c r="K5" s="212" t="s">
        <v>9</v>
      </c>
      <c r="L5" s="212" t="s">
        <v>10</v>
      </c>
      <c r="M5" s="212" t="s">
        <v>11</v>
      </c>
      <c r="N5" s="212" t="s">
        <v>12</v>
      </c>
      <c r="O5" s="212" t="s">
        <v>13</v>
      </c>
      <c r="P5" s="25"/>
      <c r="Q5" s="25"/>
    </row>
    <row r="6" spans="1:17" hidden="1">
      <c r="A6" s="145"/>
      <c r="B6" s="145"/>
      <c r="C6" s="145" t="s">
        <v>517</v>
      </c>
      <c r="D6" s="145" t="s">
        <v>516</v>
      </c>
      <c r="E6" s="145" t="s">
        <v>515</v>
      </c>
      <c r="F6" s="145" t="s">
        <v>514</v>
      </c>
      <c r="G6" s="145" t="s">
        <v>513</v>
      </c>
      <c r="H6" s="145" t="s">
        <v>512</v>
      </c>
      <c r="I6" s="145" t="s">
        <v>511</v>
      </c>
      <c r="J6" s="145" t="s">
        <v>510</v>
      </c>
      <c r="K6" s="145" t="s">
        <v>509</v>
      </c>
      <c r="L6" s="145" t="s">
        <v>508</v>
      </c>
      <c r="M6" s="145" t="s">
        <v>507</v>
      </c>
      <c r="N6" s="145" t="s">
        <v>506</v>
      </c>
      <c r="O6" s="145" t="s">
        <v>505</v>
      </c>
      <c r="P6" s="25"/>
      <c r="Q6" s="25"/>
    </row>
    <row r="7" spans="1:17">
      <c r="A7" s="164" t="s">
        <v>705</v>
      </c>
      <c r="B7" s="145"/>
      <c r="C7" s="146"/>
      <c r="D7" s="145"/>
      <c r="E7" s="145"/>
      <c r="F7" s="145"/>
      <c r="G7" s="145"/>
      <c r="H7" s="145"/>
      <c r="I7" s="145"/>
      <c r="J7" s="145"/>
      <c r="K7" s="145"/>
      <c r="L7" s="145"/>
      <c r="M7" s="145"/>
      <c r="N7" s="145"/>
      <c r="O7" s="145"/>
      <c r="P7" s="25"/>
      <c r="Q7" s="25"/>
    </row>
    <row r="8" spans="1:17">
      <c r="A8" s="145"/>
      <c r="B8" s="164">
        <v>2022</v>
      </c>
      <c r="C8" s="146">
        <v>1</v>
      </c>
      <c r="D8" s="145">
        <v>0</v>
      </c>
      <c r="E8" s="145">
        <v>0</v>
      </c>
      <c r="F8" s="145">
        <v>0</v>
      </c>
      <c r="G8" s="145">
        <v>0</v>
      </c>
      <c r="H8" s="145">
        <v>1</v>
      </c>
      <c r="I8" s="145">
        <v>0</v>
      </c>
      <c r="J8" s="145">
        <v>0</v>
      </c>
      <c r="K8" s="145">
        <v>0</v>
      </c>
      <c r="L8" s="145">
        <v>0</v>
      </c>
      <c r="M8" s="145">
        <v>0</v>
      </c>
      <c r="N8" s="145">
        <v>0</v>
      </c>
      <c r="O8" s="145">
        <v>0</v>
      </c>
      <c r="P8" s="25"/>
      <c r="Q8" s="25"/>
    </row>
    <row r="9" spans="1:17">
      <c r="A9" s="164"/>
      <c r="B9" s="145"/>
      <c r="C9" s="146"/>
      <c r="D9" s="145"/>
      <c r="E9" s="145"/>
      <c r="F9" s="145"/>
      <c r="G9" s="145"/>
      <c r="H9" s="145"/>
      <c r="I9" s="145"/>
      <c r="J9" s="145"/>
      <c r="K9" s="145"/>
      <c r="L9" s="145"/>
      <c r="M9" s="145"/>
      <c r="N9" s="145"/>
      <c r="O9" s="145"/>
      <c r="P9" s="25"/>
      <c r="Q9" s="25"/>
    </row>
    <row r="10" spans="1:17">
      <c r="A10" s="164" t="s">
        <v>269</v>
      </c>
      <c r="B10" s="145"/>
      <c r="C10" s="146"/>
      <c r="D10" s="145"/>
      <c r="E10" s="145"/>
      <c r="F10" s="145"/>
      <c r="G10" s="145"/>
      <c r="H10" s="145"/>
      <c r="I10" s="145"/>
      <c r="J10" s="145"/>
      <c r="K10" s="145"/>
      <c r="L10" s="145"/>
      <c r="M10" s="145"/>
      <c r="N10" s="145"/>
      <c r="O10" s="145"/>
      <c r="P10" s="25"/>
      <c r="Q10" s="25"/>
    </row>
    <row r="11" spans="1:17">
      <c r="A11" s="145"/>
      <c r="B11" s="164">
        <v>2023</v>
      </c>
      <c r="C11" s="146">
        <v>5</v>
      </c>
      <c r="D11" s="145">
        <v>0</v>
      </c>
      <c r="E11" s="145">
        <v>0</v>
      </c>
      <c r="F11" s="145">
        <v>0</v>
      </c>
      <c r="G11" s="145">
        <v>0</v>
      </c>
      <c r="H11" s="145">
        <v>1</v>
      </c>
      <c r="I11" s="145">
        <v>0</v>
      </c>
      <c r="J11" s="145">
        <v>0</v>
      </c>
      <c r="K11" s="145">
        <v>3</v>
      </c>
      <c r="L11" s="145">
        <v>1</v>
      </c>
      <c r="M11" s="145">
        <v>0</v>
      </c>
      <c r="N11" s="145">
        <v>0</v>
      </c>
      <c r="O11" s="145">
        <v>0</v>
      </c>
      <c r="P11" s="25"/>
      <c r="Q11" s="25"/>
    </row>
    <row r="12" spans="1:17">
      <c r="A12" s="145"/>
      <c r="B12" s="164">
        <v>2022</v>
      </c>
      <c r="C12" s="146">
        <v>2</v>
      </c>
      <c r="D12" s="145">
        <v>0</v>
      </c>
      <c r="E12" s="145">
        <v>1</v>
      </c>
      <c r="F12" s="145">
        <v>0</v>
      </c>
      <c r="G12" s="145">
        <v>1</v>
      </c>
      <c r="H12" s="145">
        <v>0</v>
      </c>
      <c r="I12" s="145">
        <v>0</v>
      </c>
      <c r="J12" s="145">
        <v>0</v>
      </c>
      <c r="K12" s="145">
        <v>0</v>
      </c>
      <c r="L12" s="145">
        <v>0</v>
      </c>
      <c r="M12" s="145">
        <v>0</v>
      </c>
      <c r="N12" s="145">
        <v>0</v>
      </c>
      <c r="O12" s="145">
        <v>0</v>
      </c>
      <c r="P12" s="25"/>
      <c r="Q12" s="25"/>
    </row>
    <row r="13" spans="1:17">
      <c r="A13" s="164"/>
      <c r="B13" s="145"/>
      <c r="C13" s="146"/>
      <c r="D13" s="145"/>
      <c r="E13" s="145"/>
      <c r="F13" s="145"/>
      <c r="G13" s="145"/>
      <c r="H13" s="145"/>
      <c r="I13" s="145"/>
      <c r="J13" s="145"/>
      <c r="K13" s="145"/>
      <c r="L13" s="145"/>
      <c r="M13" s="145"/>
      <c r="N13" s="145"/>
      <c r="O13" s="145"/>
      <c r="P13" s="25"/>
      <c r="Q13" s="25"/>
    </row>
    <row r="14" spans="1:17">
      <c r="A14" s="164" t="s">
        <v>276</v>
      </c>
      <c r="B14" s="145"/>
      <c r="C14" s="146"/>
      <c r="D14" s="145"/>
      <c r="E14" s="145"/>
      <c r="F14" s="145"/>
      <c r="G14" s="145"/>
      <c r="H14" s="145"/>
      <c r="I14" s="145"/>
      <c r="J14" s="145"/>
      <c r="K14" s="145"/>
      <c r="L14" s="145"/>
      <c r="M14" s="145"/>
      <c r="N14" s="145"/>
      <c r="O14" s="145"/>
      <c r="P14" s="25"/>
      <c r="Q14" s="25"/>
    </row>
    <row r="15" spans="1:17">
      <c r="A15" s="145"/>
      <c r="B15" s="164">
        <v>2022</v>
      </c>
      <c r="C15" s="146">
        <v>1</v>
      </c>
      <c r="D15" s="145">
        <v>0</v>
      </c>
      <c r="E15" s="145">
        <v>0</v>
      </c>
      <c r="F15" s="145">
        <v>0</v>
      </c>
      <c r="G15" s="145">
        <v>0</v>
      </c>
      <c r="H15" s="145">
        <v>0</v>
      </c>
      <c r="I15" s="145">
        <v>0</v>
      </c>
      <c r="J15" s="145">
        <v>0</v>
      </c>
      <c r="K15" s="145">
        <v>0</v>
      </c>
      <c r="L15" s="145">
        <v>1</v>
      </c>
      <c r="M15" s="145">
        <v>0</v>
      </c>
      <c r="N15" s="145">
        <v>0</v>
      </c>
      <c r="O15" s="145">
        <v>0</v>
      </c>
      <c r="P15" s="25"/>
      <c r="Q15" s="25"/>
    </row>
    <row r="16" spans="1:17">
      <c r="A16" s="164"/>
      <c r="B16" s="145"/>
      <c r="C16" s="146"/>
      <c r="D16" s="145"/>
      <c r="E16" s="145"/>
      <c r="F16" s="145"/>
      <c r="G16" s="145"/>
      <c r="H16" s="145"/>
      <c r="I16" s="145"/>
      <c r="J16" s="145"/>
      <c r="K16" s="145"/>
      <c r="L16" s="145"/>
      <c r="M16" s="145"/>
      <c r="N16" s="145"/>
      <c r="O16" s="145"/>
      <c r="P16" s="25"/>
      <c r="Q16" s="25"/>
    </row>
    <row r="17" spans="1:17">
      <c r="A17" s="164" t="s">
        <v>378</v>
      </c>
      <c r="B17" s="145"/>
      <c r="C17" s="146"/>
      <c r="D17" s="145"/>
      <c r="E17" s="145"/>
      <c r="F17" s="145"/>
      <c r="G17" s="145"/>
      <c r="H17" s="145"/>
      <c r="I17" s="145"/>
      <c r="J17" s="145"/>
      <c r="K17" s="145"/>
      <c r="L17" s="145"/>
      <c r="M17" s="145"/>
      <c r="N17" s="145"/>
      <c r="O17" s="145"/>
      <c r="P17" s="25"/>
      <c r="Q17" s="25"/>
    </row>
    <row r="18" spans="1:17">
      <c r="A18" s="145"/>
      <c r="B18" s="164">
        <v>2023</v>
      </c>
      <c r="C18" s="146">
        <v>15</v>
      </c>
      <c r="D18" s="145">
        <v>0</v>
      </c>
      <c r="E18" s="145">
        <v>2</v>
      </c>
      <c r="F18" s="145">
        <v>0</v>
      </c>
      <c r="G18" s="145">
        <v>8</v>
      </c>
      <c r="H18" s="145">
        <v>1</v>
      </c>
      <c r="I18" s="145">
        <v>0</v>
      </c>
      <c r="J18" s="145">
        <v>3</v>
      </c>
      <c r="K18" s="145">
        <v>0</v>
      </c>
      <c r="L18" s="145">
        <v>1</v>
      </c>
      <c r="M18" s="145">
        <v>0</v>
      </c>
      <c r="N18" s="145">
        <v>0</v>
      </c>
      <c r="O18" s="145">
        <v>0</v>
      </c>
      <c r="P18" s="25"/>
      <c r="Q18" s="25"/>
    </row>
    <row r="19" spans="1:17">
      <c r="A19" s="145"/>
      <c r="B19" s="164">
        <v>2022</v>
      </c>
      <c r="C19" s="146">
        <v>7</v>
      </c>
      <c r="D19" s="145">
        <v>1</v>
      </c>
      <c r="E19" s="145">
        <v>0</v>
      </c>
      <c r="F19" s="145">
        <v>2</v>
      </c>
      <c r="G19" s="145">
        <v>1</v>
      </c>
      <c r="H19" s="145">
        <v>1</v>
      </c>
      <c r="I19" s="145">
        <v>1</v>
      </c>
      <c r="J19" s="145">
        <v>1</v>
      </c>
      <c r="K19" s="145">
        <v>0</v>
      </c>
      <c r="L19" s="145">
        <v>0</v>
      </c>
      <c r="M19" s="145">
        <v>3</v>
      </c>
      <c r="N19" s="145">
        <v>0</v>
      </c>
      <c r="O19" s="145">
        <v>0</v>
      </c>
      <c r="P19" s="25"/>
      <c r="Q19" s="25"/>
    </row>
    <row r="20" spans="1:17">
      <c r="A20" s="164"/>
      <c r="B20" s="145"/>
      <c r="C20" s="146"/>
      <c r="D20" s="145"/>
      <c r="E20" s="145"/>
      <c r="F20" s="145"/>
      <c r="G20" s="145"/>
      <c r="H20" s="145"/>
      <c r="I20" s="145"/>
      <c r="J20" s="145"/>
      <c r="K20" s="145"/>
      <c r="L20" s="145"/>
      <c r="M20" s="145"/>
      <c r="N20" s="145"/>
      <c r="O20" s="145"/>
      <c r="P20" s="25"/>
      <c r="Q20" s="25"/>
    </row>
    <row r="21" spans="1:17">
      <c r="A21" s="164" t="s">
        <v>468</v>
      </c>
      <c r="B21" s="145"/>
      <c r="C21" s="146"/>
      <c r="D21" s="145"/>
      <c r="E21" s="145"/>
      <c r="F21" s="145"/>
      <c r="G21" s="145"/>
      <c r="H21" s="145"/>
      <c r="I21" s="145"/>
      <c r="J21" s="145"/>
      <c r="K21" s="145"/>
      <c r="L21" s="145"/>
      <c r="M21" s="145"/>
      <c r="N21" s="145"/>
      <c r="O21" s="145"/>
      <c r="P21" s="25"/>
      <c r="Q21" s="25"/>
    </row>
    <row r="22" spans="1:17">
      <c r="A22" s="145"/>
      <c r="B22" s="164">
        <v>2023</v>
      </c>
      <c r="C22" s="146">
        <v>13</v>
      </c>
      <c r="D22" s="145">
        <v>2</v>
      </c>
      <c r="E22" s="145">
        <v>4</v>
      </c>
      <c r="F22" s="145">
        <v>1</v>
      </c>
      <c r="G22" s="145">
        <v>1</v>
      </c>
      <c r="H22" s="145">
        <v>3</v>
      </c>
      <c r="I22" s="145">
        <v>1</v>
      </c>
      <c r="J22" s="145">
        <v>0</v>
      </c>
      <c r="K22" s="145">
        <v>1</v>
      </c>
      <c r="L22" s="145">
        <v>0</v>
      </c>
      <c r="M22" s="145">
        <v>0</v>
      </c>
      <c r="N22" s="145">
        <v>0</v>
      </c>
      <c r="O22" s="145">
        <v>0</v>
      </c>
      <c r="P22" s="25"/>
      <c r="Q22" s="25"/>
    </row>
    <row r="23" spans="1:17">
      <c r="A23" s="145"/>
      <c r="B23" s="164">
        <v>2022</v>
      </c>
      <c r="C23" s="146">
        <v>1</v>
      </c>
      <c r="D23" s="145">
        <v>0</v>
      </c>
      <c r="E23" s="145">
        <v>0</v>
      </c>
      <c r="F23" s="145">
        <v>0</v>
      </c>
      <c r="G23" s="145">
        <v>1</v>
      </c>
      <c r="H23" s="145">
        <v>0</v>
      </c>
      <c r="I23" s="145">
        <v>0</v>
      </c>
      <c r="J23" s="145">
        <v>0</v>
      </c>
      <c r="K23" s="145">
        <v>0</v>
      </c>
      <c r="L23" s="145">
        <v>0</v>
      </c>
      <c r="M23" s="145">
        <v>0</v>
      </c>
      <c r="N23" s="145">
        <v>6</v>
      </c>
      <c r="O23" s="145">
        <v>5</v>
      </c>
      <c r="P23" s="25"/>
      <c r="Q23" s="25"/>
    </row>
    <row r="24" spans="1:17">
      <c r="A24" s="164"/>
      <c r="B24" s="145"/>
      <c r="C24" s="146"/>
      <c r="D24" s="145"/>
      <c r="E24" s="145"/>
      <c r="F24" s="145"/>
      <c r="G24" s="145"/>
      <c r="H24" s="145"/>
      <c r="I24" s="145"/>
      <c r="J24" s="145"/>
      <c r="K24" s="145"/>
      <c r="L24" s="145"/>
      <c r="M24" s="145"/>
      <c r="N24" s="145"/>
      <c r="O24" s="145"/>
      <c r="P24" s="25"/>
      <c r="Q24" s="25"/>
    </row>
    <row r="25" spans="1:17">
      <c r="A25" s="164" t="s">
        <v>503</v>
      </c>
      <c r="B25" s="145"/>
      <c r="C25" s="146"/>
      <c r="D25" s="145"/>
      <c r="E25" s="145"/>
      <c r="F25" s="145"/>
      <c r="G25" s="145"/>
      <c r="H25" s="145"/>
      <c r="I25" s="145"/>
      <c r="J25" s="145"/>
      <c r="K25" s="145"/>
      <c r="L25" s="145"/>
      <c r="M25" s="145"/>
      <c r="N25" s="145"/>
      <c r="O25" s="145"/>
      <c r="P25" s="25"/>
      <c r="Q25" s="25"/>
    </row>
    <row r="26" spans="1:17">
      <c r="A26" s="145"/>
      <c r="B26" s="164">
        <v>2023</v>
      </c>
      <c r="C26" s="146">
        <v>6</v>
      </c>
      <c r="D26" s="145">
        <v>0</v>
      </c>
      <c r="E26" s="145">
        <v>0</v>
      </c>
      <c r="F26" s="145">
        <v>3</v>
      </c>
      <c r="G26" s="145">
        <v>3</v>
      </c>
      <c r="H26" s="145">
        <v>0</v>
      </c>
      <c r="I26" s="145">
        <v>0</v>
      </c>
      <c r="J26" s="145">
        <v>0</v>
      </c>
      <c r="K26" s="145">
        <v>0</v>
      </c>
      <c r="L26" s="145">
        <v>0</v>
      </c>
      <c r="M26" s="145">
        <v>0</v>
      </c>
      <c r="N26" s="145">
        <v>0</v>
      </c>
      <c r="O26" s="145">
        <v>0</v>
      </c>
      <c r="P26" s="25"/>
      <c r="Q26" s="25"/>
    </row>
    <row r="27" spans="1:17">
      <c r="A27" s="145"/>
      <c r="B27" s="164">
        <v>2022</v>
      </c>
      <c r="C27" s="146">
        <v>3</v>
      </c>
      <c r="D27" s="145">
        <v>1</v>
      </c>
      <c r="E27" s="145">
        <v>0</v>
      </c>
      <c r="F27" s="145">
        <v>0</v>
      </c>
      <c r="G27" s="145">
        <v>0</v>
      </c>
      <c r="H27" s="145">
        <v>1</v>
      </c>
      <c r="I27" s="145">
        <v>0</v>
      </c>
      <c r="J27" s="145">
        <v>0</v>
      </c>
      <c r="K27" s="145">
        <v>0</v>
      </c>
      <c r="L27" s="145">
        <v>1</v>
      </c>
      <c r="M27" s="145">
        <v>0</v>
      </c>
      <c r="N27" s="145">
        <v>0</v>
      </c>
      <c r="O27" s="145">
        <v>0</v>
      </c>
      <c r="P27" s="25"/>
      <c r="Q27" s="25"/>
    </row>
    <row r="28" spans="1:17">
      <c r="A28" s="164"/>
      <c r="B28" s="145"/>
      <c r="C28" s="146"/>
      <c r="D28" s="145"/>
      <c r="E28" s="145"/>
      <c r="F28" s="145"/>
      <c r="G28" s="145"/>
      <c r="H28" s="145"/>
      <c r="I28" s="145"/>
      <c r="J28" s="145"/>
      <c r="K28" s="145"/>
      <c r="L28" s="145"/>
      <c r="M28" s="145"/>
      <c r="N28" s="145"/>
      <c r="O28" s="145"/>
      <c r="P28" s="25"/>
      <c r="Q28" s="25"/>
    </row>
    <row r="29" spans="1:17">
      <c r="A29" s="164" t="s">
        <v>294</v>
      </c>
      <c r="B29" s="145"/>
      <c r="C29" s="146"/>
      <c r="D29" s="145"/>
      <c r="E29" s="145"/>
      <c r="F29" s="145"/>
      <c r="G29" s="145"/>
      <c r="H29" s="145"/>
      <c r="I29" s="145"/>
      <c r="J29" s="145"/>
      <c r="K29" s="145"/>
      <c r="L29" s="145"/>
      <c r="M29" s="145"/>
      <c r="N29" s="145"/>
      <c r="O29" s="145"/>
      <c r="P29" s="25"/>
      <c r="Q29" s="25"/>
    </row>
    <row r="30" spans="1:17">
      <c r="A30" s="145"/>
      <c r="B30" s="164">
        <v>2023</v>
      </c>
      <c r="C30" s="146">
        <v>35</v>
      </c>
      <c r="D30" s="145">
        <v>5</v>
      </c>
      <c r="E30" s="145">
        <v>14</v>
      </c>
      <c r="F30" s="145">
        <v>5</v>
      </c>
      <c r="G30" s="145">
        <v>9</v>
      </c>
      <c r="H30" s="145">
        <v>3</v>
      </c>
      <c r="I30" s="145">
        <v>0</v>
      </c>
      <c r="J30" s="145">
        <v>1</v>
      </c>
      <c r="K30" s="145">
        <v>1</v>
      </c>
      <c r="L30" s="145">
        <v>1</v>
      </c>
      <c r="M30" s="145">
        <v>0</v>
      </c>
      <c r="N30" s="145">
        <v>0</v>
      </c>
      <c r="O30" s="145">
        <v>0</v>
      </c>
      <c r="P30" s="25"/>
      <c r="Q30" s="25"/>
    </row>
    <row r="31" spans="1:17">
      <c r="A31" s="145"/>
      <c r="B31" s="164">
        <v>2022</v>
      </c>
      <c r="C31" s="146">
        <v>50</v>
      </c>
      <c r="D31" s="145">
        <v>4</v>
      </c>
      <c r="E31" s="145">
        <v>6</v>
      </c>
      <c r="F31" s="145">
        <v>3</v>
      </c>
      <c r="G31" s="145">
        <v>14</v>
      </c>
      <c r="H31" s="145">
        <v>8</v>
      </c>
      <c r="I31" s="145">
        <v>5</v>
      </c>
      <c r="J31" s="145">
        <v>2</v>
      </c>
      <c r="K31" s="145">
        <v>8</v>
      </c>
      <c r="L31" s="145">
        <v>0</v>
      </c>
      <c r="M31" s="145">
        <v>3</v>
      </c>
      <c r="N31" s="145">
        <v>4</v>
      </c>
      <c r="O31" s="145">
        <v>8</v>
      </c>
      <c r="P31" s="25"/>
      <c r="Q31" s="25"/>
    </row>
    <row r="32" spans="1:17">
      <c r="A32" s="164"/>
      <c r="B32" s="145"/>
      <c r="C32" s="146"/>
      <c r="D32" s="145"/>
      <c r="E32" s="145"/>
      <c r="F32" s="145"/>
      <c r="G32" s="145"/>
      <c r="H32" s="145"/>
      <c r="I32" s="145"/>
      <c r="J32" s="145"/>
      <c r="K32" s="145"/>
      <c r="L32" s="145"/>
      <c r="M32" s="145"/>
      <c r="N32" s="145"/>
      <c r="O32" s="145"/>
      <c r="P32" s="25"/>
      <c r="Q32" s="25"/>
    </row>
    <row r="33" spans="1:17">
      <c r="A33" s="164" t="s">
        <v>295</v>
      </c>
      <c r="B33" s="145"/>
      <c r="C33" s="146"/>
      <c r="D33" s="145"/>
      <c r="E33" s="145"/>
      <c r="F33" s="145"/>
      <c r="G33" s="145"/>
      <c r="H33" s="145"/>
      <c r="I33" s="145"/>
      <c r="J33" s="145"/>
      <c r="K33" s="145"/>
      <c r="L33" s="145"/>
      <c r="M33" s="145"/>
      <c r="N33" s="145"/>
      <c r="O33" s="145"/>
      <c r="P33" s="25"/>
      <c r="Q33" s="25"/>
    </row>
    <row r="34" spans="1:17">
      <c r="A34" s="145"/>
      <c r="B34" s="164">
        <v>2023</v>
      </c>
      <c r="C34" s="146">
        <v>6</v>
      </c>
      <c r="D34" s="145">
        <v>0</v>
      </c>
      <c r="E34" s="145">
        <v>3</v>
      </c>
      <c r="F34" s="145">
        <v>1</v>
      </c>
      <c r="G34" s="145">
        <v>2</v>
      </c>
      <c r="H34" s="145">
        <v>0</v>
      </c>
      <c r="I34" s="145">
        <v>0</v>
      </c>
      <c r="J34" s="145">
        <v>0</v>
      </c>
      <c r="K34" s="145">
        <v>0</v>
      </c>
      <c r="L34" s="145">
        <v>0</v>
      </c>
      <c r="M34" s="145">
        <v>0</v>
      </c>
      <c r="N34" s="145">
        <v>0</v>
      </c>
      <c r="O34" s="145">
        <v>0</v>
      </c>
      <c r="P34" s="25"/>
      <c r="Q34" s="25"/>
    </row>
    <row r="35" spans="1:17">
      <c r="A35" s="145"/>
      <c r="B35" s="164">
        <v>2022</v>
      </c>
      <c r="C35" s="146">
        <v>6</v>
      </c>
      <c r="D35" s="145">
        <v>1</v>
      </c>
      <c r="E35" s="145">
        <v>1</v>
      </c>
      <c r="F35" s="145">
        <v>1</v>
      </c>
      <c r="G35" s="145">
        <v>0</v>
      </c>
      <c r="H35" s="145">
        <v>2</v>
      </c>
      <c r="I35" s="145">
        <v>0</v>
      </c>
      <c r="J35" s="145">
        <v>0</v>
      </c>
      <c r="K35" s="145">
        <v>1</v>
      </c>
      <c r="L35" s="145">
        <v>0</v>
      </c>
      <c r="M35" s="145">
        <v>1</v>
      </c>
      <c r="N35" s="145">
        <v>1</v>
      </c>
      <c r="O35" s="145">
        <v>1</v>
      </c>
      <c r="P35" s="25"/>
      <c r="Q35" s="25"/>
    </row>
    <row r="36" spans="1:17">
      <c r="A36" s="164"/>
      <c r="B36" s="145"/>
      <c r="C36" s="146"/>
      <c r="D36" s="145"/>
      <c r="E36" s="145"/>
      <c r="F36" s="145"/>
      <c r="G36" s="145"/>
      <c r="H36" s="145"/>
      <c r="I36" s="145"/>
      <c r="J36" s="145"/>
      <c r="K36" s="145"/>
      <c r="L36" s="145"/>
      <c r="M36" s="145"/>
      <c r="N36" s="145"/>
      <c r="O36" s="145"/>
      <c r="P36" s="25"/>
      <c r="Q36" s="25"/>
    </row>
    <row r="37" spans="1:17">
      <c r="A37" s="164" t="s">
        <v>502</v>
      </c>
      <c r="B37" s="145"/>
      <c r="C37" s="146"/>
      <c r="D37" s="145"/>
      <c r="E37" s="145"/>
      <c r="F37" s="145"/>
      <c r="G37" s="145"/>
      <c r="H37" s="145"/>
      <c r="I37" s="145"/>
      <c r="J37" s="145"/>
      <c r="K37" s="145"/>
      <c r="L37" s="145"/>
      <c r="M37" s="145"/>
      <c r="N37" s="145"/>
      <c r="O37" s="145"/>
      <c r="P37" s="25"/>
      <c r="Q37" s="25"/>
    </row>
    <row r="38" spans="1:17">
      <c r="A38" s="145"/>
      <c r="B38" s="164">
        <v>2023</v>
      </c>
      <c r="C38" s="146">
        <v>80</v>
      </c>
      <c r="D38" s="145">
        <v>7</v>
      </c>
      <c r="E38" s="145">
        <v>23</v>
      </c>
      <c r="F38" s="145">
        <v>10</v>
      </c>
      <c r="G38" s="145">
        <v>23</v>
      </c>
      <c r="H38" s="145">
        <v>8</v>
      </c>
      <c r="I38" s="145">
        <v>1</v>
      </c>
      <c r="J38" s="145">
        <v>4</v>
      </c>
      <c r="K38" s="145">
        <v>5</v>
      </c>
      <c r="L38" s="145">
        <v>3</v>
      </c>
      <c r="M38" s="145">
        <v>0</v>
      </c>
      <c r="N38" s="145">
        <v>0</v>
      </c>
      <c r="O38" s="145">
        <v>0</v>
      </c>
      <c r="P38" s="25"/>
      <c r="Q38" s="25"/>
    </row>
    <row r="39" spans="1:17">
      <c r="A39" s="145"/>
      <c r="B39" s="164">
        <v>2022</v>
      </c>
      <c r="C39" s="146">
        <v>71</v>
      </c>
      <c r="D39" s="145">
        <v>7</v>
      </c>
      <c r="E39" s="145">
        <v>8</v>
      </c>
      <c r="F39" s="145">
        <v>6</v>
      </c>
      <c r="G39" s="145">
        <v>17</v>
      </c>
      <c r="H39" s="145">
        <v>13</v>
      </c>
      <c r="I39" s="145">
        <v>6</v>
      </c>
      <c r="J39" s="145">
        <v>3</v>
      </c>
      <c r="K39" s="145">
        <v>9</v>
      </c>
      <c r="L39" s="145">
        <v>2</v>
      </c>
      <c r="M39" s="145">
        <v>7</v>
      </c>
      <c r="N39" s="145">
        <v>11</v>
      </c>
      <c r="O39" s="145">
        <v>14</v>
      </c>
      <c r="P39" s="25"/>
      <c r="Q39" s="25"/>
    </row>
    <row r="40" spans="1:17">
      <c r="A40" s="164"/>
      <c r="B40" s="145"/>
      <c r="C40" s="146"/>
      <c r="D40" s="145"/>
      <c r="E40" s="145"/>
      <c r="F40" s="145"/>
      <c r="G40" s="145"/>
      <c r="H40" s="145"/>
      <c r="I40" s="145"/>
      <c r="J40" s="145"/>
      <c r="K40" s="145"/>
      <c r="L40" s="145"/>
      <c r="M40" s="145"/>
      <c r="N40" s="145"/>
      <c r="O40" s="145"/>
      <c r="P40" s="25"/>
      <c r="Q40" s="25"/>
    </row>
    <row r="41" spans="1:17">
      <c r="P41" s="25"/>
      <c r="Q41" s="25"/>
    </row>
    <row r="42" spans="1:17">
      <c r="A42" s="25"/>
      <c r="P42" s="25"/>
      <c r="Q42" s="25"/>
    </row>
    <row r="43" spans="1:17">
      <c r="P43" s="25"/>
      <c r="Q43" s="25"/>
    </row>
    <row r="44" spans="1:17">
      <c r="P44" s="25"/>
      <c r="Q44" s="25"/>
    </row>
    <row r="45" spans="1:17">
      <c r="P45" s="25"/>
      <c r="Q45" s="25"/>
    </row>
    <row r="46" spans="1:17">
      <c r="P46" s="25"/>
      <c r="Q46" s="25"/>
    </row>
    <row r="47" spans="1:17">
      <c r="P47" s="25"/>
      <c r="Q47" s="25"/>
    </row>
    <row r="48" spans="1:17">
      <c r="P48" s="25"/>
      <c r="Q48" s="25"/>
    </row>
    <row r="49" spans="1:17">
      <c r="P49" s="25"/>
      <c r="Q49" s="25"/>
    </row>
    <row r="50" spans="1:17">
      <c r="P50" s="25"/>
      <c r="Q50" s="25"/>
    </row>
    <row r="51" spans="1:17">
      <c r="B51" s="25"/>
      <c r="C51" s="25"/>
      <c r="D51" s="25"/>
      <c r="E51" s="25"/>
      <c r="F51" s="25"/>
      <c r="G51" s="25"/>
      <c r="H51" s="25"/>
      <c r="I51" s="25"/>
      <c r="J51" s="25"/>
      <c r="K51" s="25"/>
      <c r="L51" s="25"/>
      <c r="M51" s="25"/>
      <c r="N51" s="25"/>
      <c r="O51" s="25"/>
      <c r="P51" s="25"/>
      <c r="Q51" s="25"/>
    </row>
    <row r="52" spans="1:17">
      <c r="A52" s="25"/>
      <c r="B52" s="25"/>
      <c r="C52" s="25"/>
      <c r="D52" s="25"/>
      <c r="E52" s="25"/>
      <c r="F52" s="25"/>
      <c r="G52" s="25"/>
      <c r="H52" s="25"/>
      <c r="I52" s="25"/>
      <c r="J52" s="25"/>
      <c r="K52" s="25"/>
      <c r="L52" s="25"/>
      <c r="M52" s="25"/>
      <c r="N52" s="25"/>
      <c r="O52" s="25"/>
      <c r="P52" s="25"/>
      <c r="Q52" s="25"/>
    </row>
    <row r="53" spans="1:17">
      <c r="A53" s="25"/>
      <c r="B53" s="25"/>
      <c r="C53" s="25"/>
      <c r="D53" s="25"/>
      <c r="E53" s="25"/>
      <c r="F53" s="25"/>
      <c r="G53" s="25"/>
      <c r="H53" s="25"/>
      <c r="I53" s="25"/>
      <c r="J53" s="25"/>
      <c r="K53" s="25"/>
      <c r="L53" s="25"/>
      <c r="M53" s="25"/>
      <c r="N53" s="25"/>
      <c r="O53" s="25"/>
      <c r="P53" s="25"/>
      <c r="Q53" s="25"/>
    </row>
    <row r="54" spans="1:17">
      <c r="A54" s="25"/>
      <c r="B54" s="25"/>
      <c r="C54" s="25"/>
      <c r="D54" s="25"/>
      <c r="E54" s="25"/>
      <c r="F54" s="25"/>
      <c r="G54" s="25"/>
      <c r="H54" s="25"/>
      <c r="I54" s="25"/>
      <c r="J54" s="25"/>
      <c r="K54" s="25"/>
      <c r="L54" s="25"/>
      <c r="M54" s="25"/>
      <c r="N54" s="25"/>
      <c r="O54" s="25"/>
      <c r="P54" s="25"/>
      <c r="Q54" s="25"/>
    </row>
    <row r="55" spans="1:17">
      <c r="A55" s="25"/>
      <c r="B55" s="25"/>
      <c r="C55" s="25"/>
      <c r="D55" s="25"/>
      <c r="E55" s="25"/>
      <c r="F55" s="25"/>
      <c r="G55" s="25"/>
      <c r="H55" s="25"/>
      <c r="I55" s="25"/>
      <c r="J55" s="25"/>
      <c r="K55" s="25"/>
      <c r="L55" s="25"/>
      <c r="M55" s="25"/>
      <c r="N55" s="25"/>
      <c r="O55" s="25"/>
      <c r="P55" s="25"/>
      <c r="Q55" s="25"/>
    </row>
    <row r="56" spans="1:17">
      <c r="A56" s="25"/>
      <c r="B56" s="25"/>
      <c r="C56" s="25"/>
      <c r="D56" s="25"/>
      <c r="E56" s="25"/>
      <c r="F56" s="25"/>
      <c r="G56" s="25"/>
      <c r="H56" s="25"/>
      <c r="I56" s="25"/>
      <c r="J56" s="25"/>
      <c r="K56" s="25"/>
      <c r="L56" s="25"/>
      <c r="M56" s="25"/>
      <c r="N56" s="25"/>
      <c r="O56" s="25"/>
      <c r="P56" s="25"/>
      <c r="Q56" s="25"/>
    </row>
    <row r="60" spans="1:17">
      <c r="A60" t="s">
        <v>678</v>
      </c>
    </row>
  </sheetData>
  <mergeCells count="1">
    <mergeCell ref="G4:O4"/>
  </mergeCells>
  <dataValidations count="3">
    <dataValidation allowBlank="1" showInputMessage="1" showErrorMessage="1" prompt="förändring i antalet registreringar ackumulerat från årets början t.o.m den aktuella månaden." sqref="G5" xr:uid="{00000000-0002-0000-1400-000000000000}"/>
    <dataValidation allowBlank="1" showInputMessage="1" showErrorMessage="1" prompt="visar antalet registreringar för den aktuella månaden i år." sqref="B5:E5" xr:uid="{00000000-0002-0000-1400-000001000000}"/>
    <dataValidation allowBlank="1" showInputMessage="1" showErrorMessage="1" prompt="förändring i marknads-andelen ackumulerat från årets början t.o.m den aktuella månaden." sqref="I5" xr:uid="{00000000-0002-0000-1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L360"/>
  <sheetViews>
    <sheetView showZeros="0" workbookViewId="0">
      <pane ySplit="7" topLeftCell="A308" activePane="bottomLeft" state="frozen"/>
      <selection activeCell="D49" sqref="D49"/>
      <selection pane="bottomLeft" activeCell="E309" sqref="E309"/>
    </sheetView>
  </sheetViews>
  <sheetFormatPr baseColWidth="10" defaultColWidth="8.83203125" defaultRowHeight="15"/>
  <cols>
    <col min="1" max="1" width="4" customWidth="1"/>
    <col min="2" max="2" width="25.6640625" customWidth="1"/>
    <col min="3" max="6" width="9.6640625" customWidth="1"/>
    <col min="7" max="12" width="10.6640625" customWidth="1"/>
    <col min="13" max="13" width="9" customWidth="1"/>
    <col min="14" max="14" width="9" bestFit="1" customWidth="1"/>
    <col min="15" max="15" width="7.5" customWidth="1"/>
    <col min="16" max="16" width="9.5" customWidth="1"/>
    <col min="17" max="17" width="7.83203125" customWidth="1"/>
    <col min="18" max="18" width="8.33203125" customWidth="1"/>
    <col min="19" max="19" width="9.83203125" customWidth="1"/>
    <col min="20" max="20" width="9.1640625" bestFit="1" customWidth="1"/>
    <col min="21" max="21" width="7.5" customWidth="1"/>
    <col min="22" max="22" width="9" bestFit="1" customWidth="1"/>
    <col min="23" max="23" width="7.5" customWidth="1"/>
    <col min="25" max="25" width="8" customWidth="1"/>
    <col min="26" max="26" width="9.5" customWidth="1"/>
    <col min="27" max="27" width="11" customWidth="1"/>
    <col min="28" max="28" width="6.33203125" customWidth="1"/>
    <col min="29" max="29" width="12.5" bestFit="1" customWidth="1"/>
    <col min="30" max="30" width="10.33203125" customWidth="1"/>
    <col min="31" max="31" width="8.6640625" customWidth="1"/>
    <col min="32" max="32" width="7.5" customWidth="1"/>
    <col min="33" max="33" width="8.5" customWidth="1"/>
    <col min="34" max="34" width="10.5" customWidth="1"/>
    <col min="35" max="35" width="14.5" customWidth="1"/>
    <col min="36" max="36" width="15.6640625" customWidth="1"/>
    <col min="37" max="37" width="17.33203125" customWidth="1"/>
  </cols>
  <sheetData>
    <row r="2" spans="1:12" ht="19.25" customHeight="1" thickBot="1">
      <c r="C2" s="56" t="s">
        <v>450</v>
      </c>
      <c r="D2" s="56"/>
      <c r="E2" s="56"/>
      <c r="F2" s="56"/>
      <c r="G2" s="56"/>
    </row>
    <row r="4" spans="1:12">
      <c r="A4" s="7" t="s">
        <v>451</v>
      </c>
      <c r="B4" s="55"/>
      <c r="C4" s="64"/>
      <c r="D4" s="64"/>
      <c r="E4" s="25"/>
      <c r="F4" s="25"/>
      <c r="G4" s="25"/>
      <c r="H4" s="228" t="s">
        <v>452</v>
      </c>
      <c r="I4" s="228"/>
      <c r="J4" s="228"/>
      <c r="K4" s="228"/>
      <c r="L4" s="228"/>
    </row>
    <row r="5" spans="1:12">
      <c r="A5" s="96"/>
      <c r="B5" s="97"/>
      <c r="C5" s="231" t="s">
        <v>535</v>
      </c>
      <c r="D5" s="230"/>
      <c r="E5" s="231" t="s">
        <v>535</v>
      </c>
      <c r="F5" s="230"/>
      <c r="G5" s="232" t="s">
        <v>536</v>
      </c>
      <c r="H5" s="233"/>
      <c r="I5" s="229" t="s">
        <v>537</v>
      </c>
      <c r="J5" s="230"/>
      <c r="K5" s="229" t="s">
        <v>537</v>
      </c>
      <c r="L5" s="230"/>
    </row>
    <row r="6" spans="1:12">
      <c r="A6" s="96"/>
      <c r="B6" s="97" t="s">
        <v>453</v>
      </c>
      <c r="C6" s="98" t="str">
        <f>Innehåll!D79</f>
        <v xml:space="preserve"> 2023-09</v>
      </c>
      <c r="D6" s="98" t="str">
        <f>Innehåll!D80</f>
        <v xml:space="preserve"> 2022-09</v>
      </c>
      <c r="E6" s="98" t="str">
        <f>Innehåll!D81</f>
        <v>YTD  2023</v>
      </c>
      <c r="F6" s="98" t="str">
        <f>Innehåll!D82</f>
        <v>YTD  2022</v>
      </c>
      <c r="G6" s="99" t="str">
        <f>C6</f>
        <v xml:space="preserve"> 2023-09</v>
      </c>
      <c r="H6" s="100" t="str">
        <f>E6</f>
        <v>YTD  2023</v>
      </c>
      <c r="I6" s="98" t="str">
        <f>C6</f>
        <v xml:space="preserve"> 2023-09</v>
      </c>
      <c r="J6" s="101" t="str">
        <f>E6</f>
        <v>YTD  2023</v>
      </c>
      <c r="K6" s="102" t="str">
        <f>D6</f>
        <v xml:space="preserve"> 2022-09</v>
      </c>
      <c r="L6" s="102" t="str">
        <f>F6</f>
        <v>YTD  2022</v>
      </c>
    </row>
    <row r="7" spans="1:12" ht="15" hidden="1" customHeight="1">
      <c r="A7" s="55" t="s">
        <v>24</v>
      </c>
      <c r="B7" s="55" t="s">
        <v>25</v>
      </c>
      <c r="C7" s="55" t="s">
        <v>26</v>
      </c>
      <c r="D7" s="55" t="s">
        <v>27</v>
      </c>
      <c r="E7" s="55" t="s">
        <v>28</v>
      </c>
      <c r="F7" s="55" t="s">
        <v>29</v>
      </c>
      <c r="G7" s="55" t="s">
        <v>30</v>
      </c>
      <c r="H7" s="55" t="s">
        <v>31</v>
      </c>
      <c r="I7" s="55" t="s">
        <v>32</v>
      </c>
      <c r="J7" s="55" t="s">
        <v>33</v>
      </c>
      <c r="K7" s="55" t="s">
        <v>34</v>
      </c>
      <c r="L7" s="55" t="s">
        <v>35</v>
      </c>
    </row>
    <row r="8" spans="1:12">
      <c r="A8" s="55">
        <v>1</v>
      </c>
      <c r="B8" s="55" t="s">
        <v>600</v>
      </c>
      <c r="C8" s="55">
        <v>3050</v>
      </c>
      <c r="D8" s="55">
        <v>431</v>
      </c>
      <c r="E8" s="55">
        <v>13457</v>
      </c>
      <c r="F8" s="55">
        <v>4891</v>
      </c>
      <c r="G8" s="55">
        <v>607.66</v>
      </c>
      <c r="H8" s="55">
        <v>175.14</v>
      </c>
      <c r="I8" s="55">
        <v>10.84</v>
      </c>
      <c r="J8" s="55">
        <v>6.41</v>
      </c>
      <c r="K8" s="55">
        <v>1.95</v>
      </c>
      <c r="L8" s="55">
        <v>2.39</v>
      </c>
    </row>
    <row r="9" spans="1:12">
      <c r="A9" s="55">
        <v>2</v>
      </c>
      <c r="B9" s="55" t="s">
        <v>43</v>
      </c>
      <c r="C9" s="55">
        <v>1391</v>
      </c>
      <c r="D9" s="55">
        <v>631</v>
      </c>
      <c r="E9" s="55">
        <v>8603</v>
      </c>
      <c r="F9" s="55">
        <v>8054</v>
      </c>
      <c r="G9" s="55">
        <v>120.44</v>
      </c>
      <c r="H9" s="55">
        <v>6.82</v>
      </c>
      <c r="I9" s="55">
        <v>4.9400000000000004</v>
      </c>
      <c r="J9" s="55">
        <v>4.0999999999999996</v>
      </c>
      <c r="K9" s="55">
        <v>2.86</v>
      </c>
      <c r="L9" s="55">
        <v>3.94</v>
      </c>
    </row>
    <row r="10" spans="1:12">
      <c r="A10" s="55">
        <v>3</v>
      </c>
      <c r="B10" s="55" t="s">
        <v>478</v>
      </c>
      <c r="C10" s="55">
        <v>1229</v>
      </c>
      <c r="D10" s="55">
        <v>595</v>
      </c>
      <c r="E10" s="55">
        <v>7755</v>
      </c>
      <c r="F10" s="55">
        <v>5624</v>
      </c>
      <c r="G10" s="55">
        <v>106.55</v>
      </c>
      <c r="H10" s="55">
        <v>37.89</v>
      </c>
      <c r="I10" s="55">
        <v>4.37</v>
      </c>
      <c r="J10" s="55">
        <v>3.69</v>
      </c>
      <c r="K10" s="55">
        <v>2.7</v>
      </c>
      <c r="L10" s="55">
        <v>2.75</v>
      </c>
    </row>
    <row r="11" spans="1:12">
      <c r="A11" s="55">
        <v>4</v>
      </c>
      <c r="B11" s="55" t="s">
        <v>39</v>
      </c>
      <c r="C11" s="55">
        <v>748</v>
      </c>
      <c r="D11" s="55">
        <v>504</v>
      </c>
      <c r="E11" s="55">
        <v>7648</v>
      </c>
      <c r="F11" s="55">
        <v>7632</v>
      </c>
      <c r="G11" s="55">
        <v>48.41</v>
      </c>
      <c r="H11" s="55">
        <v>0.21</v>
      </c>
      <c r="I11" s="55">
        <v>2.66</v>
      </c>
      <c r="J11" s="55">
        <v>3.64</v>
      </c>
      <c r="K11" s="55">
        <v>2.29</v>
      </c>
      <c r="L11" s="55">
        <v>3.73</v>
      </c>
    </row>
    <row r="12" spans="1:12">
      <c r="A12" s="55">
        <v>5</v>
      </c>
      <c r="B12" s="55" t="s">
        <v>50</v>
      </c>
      <c r="C12" s="55">
        <v>661</v>
      </c>
      <c r="D12" s="55">
        <v>623</v>
      </c>
      <c r="E12" s="55">
        <v>4221</v>
      </c>
      <c r="F12" s="55">
        <v>4855</v>
      </c>
      <c r="G12" s="55">
        <v>6.1</v>
      </c>
      <c r="H12" s="55">
        <v>-13.06</v>
      </c>
      <c r="I12" s="55">
        <v>2.35</v>
      </c>
      <c r="J12" s="55">
        <v>2.0099999999999998</v>
      </c>
      <c r="K12" s="55">
        <v>2.83</v>
      </c>
      <c r="L12" s="55">
        <v>2.37</v>
      </c>
    </row>
    <row r="13" spans="1:12">
      <c r="A13" s="55">
        <v>6</v>
      </c>
      <c r="B13" s="55" t="s">
        <v>42</v>
      </c>
      <c r="C13" s="55">
        <v>704</v>
      </c>
      <c r="D13" s="55">
        <v>803</v>
      </c>
      <c r="E13" s="55">
        <v>4129</v>
      </c>
      <c r="F13" s="55">
        <v>6998</v>
      </c>
      <c r="G13" s="55">
        <v>-12.33</v>
      </c>
      <c r="H13" s="55">
        <v>-41</v>
      </c>
      <c r="I13" s="55">
        <v>2.5</v>
      </c>
      <c r="J13" s="55">
        <v>1.97</v>
      </c>
      <c r="K13" s="55">
        <v>3.64</v>
      </c>
      <c r="L13" s="55">
        <v>3.42</v>
      </c>
    </row>
    <row r="14" spans="1:12">
      <c r="A14" s="55">
        <v>7</v>
      </c>
      <c r="B14" s="55" t="s">
        <v>36</v>
      </c>
      <c r="C14" s="55">
        <v>361</v>
      </c>
      <c r="D14" s="55">
        <v>444</v>
      </c>
      <c r="E14" s="55">
        <v>3931</v>
      </c>
      <c r="F14" s="55">
        <v>5837</v>
      </c>
      <c r="G14" s="55">
        <v>-18.690000000000001</v>
      </c>
      <c r="H14" s="55">
        <v>-32.65</v>
      </c>
      <c r="I14" s="55">
        <v>1.28</v>
      </c>
      <c r="J14" s="55">
        <v>1.87</v>
      </c>
      <c r="K14" s="55">
        <v>2.0099999999999998</v>
      </c>
      <c r="L14" s="55">
        <v>2.85</v>
      </c>
    </row>
    <row r="15" spans="1:12">
      <c r="A15" s="55">
        <v>8</v>
      </c>
      <c r="B15" s="55" t="s">
        <v>567</v>
      </c>
      <c r="C15" s="55">
        <v>708</v>
      </c>
      <c r="D15" s="55">
        <v>516</v>
      </c>
      <c r="E15" s="55">
        <v>3827</v>
      </c>
      <c r="F15" s="55">
        <v>2947</v>
      </c>
      <c r="G15" s="55">
        <v>37.21</v>
      </c>
      <c r="H15" s="55">
        <v>29.86</v>
      </c>
      <c r="I15" s="55">
        <v>2.52</v>
      </c>
      <c r="J15" s="55">
        <v>1.82</v>
      </c>
      <c r="K15" s="55">
        <v>2.34</v>
      </c>
      <c r="L15" s="55">
        <v>1.44</v>
      </c>
    </row>
    <row r="16" spans="1:12">
      <c r="A16" s="55">
        <v>9</v>
      </c>
      <c r="B16" s="55" t="s">
        <v>224</v>
      </c>
      <c r="C16" s="55">
        <v>429</v>
      </c>
      <c r="D16" s="55">
        <v>482</v>
      </c>
      <c r="E16" s="55">
        <v>3619</v>
      </c>
      <c r="F16" s="55">
        <v>6758</v>
      </c>
      <c r="G16" s="55">
        <v>-11</v>
      </c>
      <c r="H16" s="55">
        <v>-46.45</v>
      </c>
      <c r="I16" s="55">
        <v>1.52</v>
      </c>
      <c r="J16" s="55">
        <v>1.72</v>
      </c>
      <c r="K16" s="55">
        <v>2.19</v>
      </c>
      <c r="L16" s="55">
        <v>3.3</v>
      </c>
    </row>
    <row r="17" spans="1:12">
      <c r="A17" s="55">
        <v>10</v>
      </c>
      <c r="B17" s="55" t="s">
        <v>628</v>
      </c>
      <c r="C17" s="55">
        <v>291</v>
      </c>
      <c r="D17" s="55">
        <v>295</v>
      </c>
      <c r="E17" s="55">
        <v>3549</v>
      </c>
      <c r="F17" s="55">
        <v>2713</v>
      </c>
      <c r="G17" s="55">
        <v>-1.36</v>
      </c>
      <c r="H17" s="55">
        <v>30.81</v>
      </c>
      <c r="I17" s="55">
        <v>1.03</v>
      </c>
      <c r="J17" s="55">
        <v>1.69</v>
      </c>
      <c r="K17" s="55">
        <v>1.34</v>
      </c>
      <c r="L17" s="55">
        <v>1.33</v>
      </c>
    </row>
    <row r="18" spans="1:12">
      <c r="A18" s="55">
        <v>11</v>
      </c>
      <c r="B18" s="55" t="s">
        <v>86</v>
      </c>
      <c r="C18" s="55">
        <v>419</v>
      </c>
      <c r="D18" s="55">
        <v>475</v>
      </c>
      <c r="E18" s="55">
        <v>3342</v>
      </c>
      <c r="F18" s="55">
        <v>3597</v>
      </c>
      <c r="G18" s="55">
        <v>-11.79</v>
      </c>
      <c r="H18" s="55">
        <v>-7.09</v>
      </c>
      <c r="I18" s="55">
        <v>1.49</v>
      </c>
      <c r="J18" s="55">
        <v>1.59</v>
      </c>
      <c r="K18" s="55">
        <v>2.15</v>
      </c>
      <c r="L18" s="55">
        <v>1.76</v>
      </c>
    </row>
    <row r="19" spans="1:12">
      <c r="A19" s="55">
        <v>12</v>
      </c>
      <c r="B19" s="55" t="s">
        <v>37</v>
      </c>
      <c r="C19" s="55">
        <v>314</v>
      </c>
      <c r="D19" s="55">
        <v>396</v>
      </c>
      <c r="E19" s="55">
        <v>2931</v>
      </c>
      <c r="F19" s="55">
        <v>3902</v>
      </c>
      <c r="G19" s="55">
        <v>-20.71</v>
      </c>
      <c r="H19" s="55">
        <v>-24.88</v>
      </c>
      <c r="I19" s="55">
        <v>1.1200000000000001</v>
      </c>
      <c r="J19" s="55">
        <v>1.4</v>
      </c>
      <c r="K19" s="55">
        <v>1.8</v>
      </c>
      <c r="L19" s="55">
        <v>1.91</v>
      </c>
    </row>
    <row r="20" spans="1:12">
      <c r="A20" s="55">
        <v>13</v>
      </c>
      <c r="B20" s="55" t="s">
        <v>642</v>
      </c>
      <c r="C20" s="55">
        <v>298</v>
      </c>
      <c r="D20" s="55">
        <v>183</v>
      </c>
      <c r="E20" s="55">
        <v>2836</v>
      </c>
      <c r="F20" s="55">
        <v>915</v>
      </c>
      <c r="G20" s="55">
        <v>62.84</v>
      </c>
      <c r="H20" s="55">
        <v>209.95</v>
      </c>
      <c r="I20" s="55">
        <v>1.06</v>
      </c>
      <c r="J20" s="55">
        <v>1.35</v>
      </c>
      <c r="K20" s="55">
        <v>0.83</v>
      </c>
      <c r="L20" s="55">
        <v>0.45</v>
      </c>
    </row>
    <row r="21" spans="1:12">
      <c r="A21" s="55">
        <v>14</v>
      </c>
      <c r="B21" s="55" t="s">
        <v>45</v>
      </c>
      <c r="C21" s="55">
        <v>257</v>
      </c>
      <c r="D21" s="55">
        <v>284</v>
      </c>
      <c r="E21" s="55">
        <v>2771</v>
      </c>
      <c r="F21" s="55">
        <v>3844</v>
      </c>
      <c r="G21" s="55">
        <v>-9.51</v>
      </c>
      <c r="H21" s="55">
        <v>-27.91</v>
      </c>
      <c r="I21" s="55">
        <v>0.91</v>
      </c>
      <c r="J21" s="55">
        <v>1.32</v>
      </c>
      <c r="K21" s="55">
        <v>1.29</v>
      </c>
      <c r="L21" s="55">
        <v>1.88</v>
      </c>
    </row>
    <row r="22" spans="1:12">
      <c r="A22" s="55">
        <v>15</v>
      </c>
      <c r="B22" s="55" t="s">
        <v>390</v>
      </c>
      <c r="C22" s="55">
        <v>304</v>
      </c>
      <c r="D22" s="55">
        <v>274</v>
      </c>
      <c r="E22" s="55">
        <v>2718</v>
      </c>
      <c r="F22" s="55">
        <v>2809</v>
      </c>
      <c r="G22" s="55">
        <v>10.95</v>
      </c>
      <c r="H22" s="55">
        <v>-3.24</v>
      </c>
      <c r="I22" s="55">
        <v>1.08</v>
      </c>
      <c r="J22" s="55">
        <v>1.29</v>
      </c>
      <c r="K22" s="55">
        <v>1.24</v>
      </c>
      <c r="L22" s="55">
        <v>1.37</v>
      </c>
    </row>
    <row r="23" spans="1:12">
      <c r="A23" s="55">
        <v>16</v>
      </c>
      <c r="B23" s="55" t="s">
        <v>592</v>
      </c>
      <c r="C23" s="55">
        <v>339</v>
      </c>
      <c r="D23" s="55">
        <v>145</v>
      </c>
      <c r="E23" s="55">
        <v>2681</v>
      </c>
      <c r="F23" s="55">
        <v>1387</v>
      </c>
      <c r="G23" s="55">
        <v>133.79</v>
      </c>
      <c r="H23" s="55">
        <v>93.29</v>
      </c>
      <c r="I23" s="55">
        <v>1.2</v>
      </c>
      <c r="J23" s="55">
        <v>1.28</v>
      </c>
      <c r="K23" s="55">
        <v>0.66</v>
      </c>
      <c r="L23" s="55">
        <v>0.68</v>
      </c>
    </row>
    <row r="24" spans="1:12">
      <c r="A24" s="55">
        <v>17</v>
      </c>
      <c r="B24" s="55" t="s">
        <v>627</v>
      </c>
      <c r="C24" s="55">
        <v>152</v>
      </c>
      <c r="D24" s="55">
        <v>181</v>
      </c>
      <c r="E24" s="55">
        <v>2641</v>
      </c>
      <c r="F24" s="55">
        <v>2201</v>
      </c>
      <c r="G24" s="55">
        <v>-16.02</v>
      </c>
      <c r="H24" s="55">
        <v>19.989999999999998</v>
      </c>
      <c r="I24" s="55">
        <v>0.54</v>
      </c>
      <c r="J24" s="55">
        <v>1.26</v>
      </c>
      <c r="K24" s="55">
        <v>0.82</v>
      </c>
      <c r="L24" s="55">
        <v>1.08</v>
      </c>
    </row>
    <row r="25" spans="1:12">
      <c r="A25" s="55">
        <v>18</v>
      </c>
      <c r="B25" s="55" t="s">
        <v>71</v>
      </c>
      <c r="C25" s="55">
        <v>350</v>
      </c>
      <c r="D25" s="55">
        <v>526</v>
      </c>
      <c r="E25" s="55">
        <v>2445</v>
      </c>
      <c r="F25" s="55">
        <v>3803</v>
      </c>
      <c r="G25" s="55">
        <v>-33.46</v>
      </c>
      <c r="H25" s="55">
        <v>-35.71</v>
      </c>
      <c r="I25" s="55">
        <v>1.24</v>
      </c>
      <c r="J25" s="55">
        <v>1.1599999999999999</v>
      </c>
      <c r="K25" s="55">
        <v>2.39</v>
      </c>
      <c r="L25" s="55">
        <v>1.86</v>
      </c>
    </row>
    <row r="26" spans="1:12">
      <c r="A26" s="55">
        <v>19</v>
      </c>
      <c r="B26" s="55" t="s">
        <v>632</v>
      </c>
      <c r="C26" s="55">
        <v>221</v>
      </c>
      <c r="D26" s="55">
        <v>350</v>
      </c>
      <c r="E26" s="55">
        <v>2400</v>
      </c>
      <c r="F26" s="55">
        <v>738</v>
      </c>
      <c r="G26" s="55">
        <v>-36.86</v>
      </c>
      <c r="H26" s="55">
        <v>225.2</v>
      </c>
      <c r="I26" s="55">
        <v>0.79</v>
      </c>
      <c r="J26" s="55">
        <v>1.1399999999999999</v>
      </c>
      <c r="K26" s="55">
        <v>1.59</v>
      </c>
      <c r="L26" s="55">
        <v>0.36</v>
      </c>
    </row>
    <row r="27" spans="1:12">
      <c r="A27" s="55">
        <v>20</v>
      </c>
      <c r="B27" s="55" t="s">
        <v>47</v>
      </c>
      <c r="C27" s="55">
        <v>213</v>
      </c>
      <c r="D27" s="55">
        <v>518</v>
      </c>
      <c r="E27" s="55">
        <v>2357</v>
      </c>
      <c r="F27" s="55">
        <v>2928</v>
      </c>
      <c r="G27" s="55">
        <v>-58.88</v>
      </c>
      <c r="H27" s="55">
        <v>-19.5</v>
      </c>
      <c r="I27" s="55">
        <v>0.76</v>
      </c>
      <c r="J27" s="55">
        <v>1.1200000000000001</v>
      </c>
      <c r="K27" s="55">
        <v>2.35</v>
      </c>
      <c r="L27" s="55">
        <v>1.43</v>
      </c>
    </row>
    <row r="28" spans="1:12">
      <c r="A28" s="55">
        <v>21</v>
      </c>
      <c r="B28" s="55" t="s">
        <v>1020</v>
      </c>
      <c r="C28" s="55">
        <v>598</v>
      </c>
      <c r="D28" s="55">
        <v>0</v>
      </c>
      <c r="E28" s="55">
        <v>2317</v>
      </c>
      <c r="F28" s="55">
        <v>0</v>
      </c>
      <c r="G28" s="55">
        <v>0</v>
      </c>
      <c r="H28" s="55">
        <v>0</v>
      </c>
      <c r="I28" s="55">
        <v>2.13</v>
      </c>
      <c r="J28" s="55">
        <v>1.1000000000000001</v>
      </c>
      <c r="K28" s="55">
        <v>0</v>
      </c>
      <c r="L28" s="55">
        <v>0</v>
      </c>
    </row>
    <row r="29" spans="1:12">
      <c r="A29" s="55">
        <v>22</v>
      </c>
      <c r="B29" s="55" t="s">
        <v>54</v>
      </c>
      <c r="C29" s="55">
        <v>236</v>
      </c>
      <c r="D29" s="55">
        <v>218</v>
      </c>
      <c r="E29" s="55">
        <v>2125</v>
      </c>
      <c r="F29" s="55">
        <v>1131</v>
      </c>
      <c r="G29" s="55">
        <v>8.26</v>
      </c>
      <c r="H29" s="55">
        <v>87.89</v>
      </c>
      <c r="I29" s="55">
        <v>0.84</v>
      </c>
      <c r="J29" s="55">
        <v>1.01</v>
      </c>
      <c r="K29" s="55">
        <v>0.99</v>
      </c>
      <c r="L29" s="55">
        <v>0.55000000000000004</v>
      </c>
    </row>
    <row r="30" spans="1:12">
      <c r="A30" s="55">
        <v>23</v>
      </c>
      <c r="B30" s="55" t="s">
        <v>55</v>
      </c>
      <c r="C30" s="55">
        <v>51</v>
      </c>
      <c r="D30" s="55">
        <v>484</v>
      </c>
      <c r="E30" s="55">
        <v>2067</v>
      </c>
      <c r="F30" s="55">
        <v>2056</v>
      </c>
      <c r="G30" s="55">
        <v>-89.46</v>
      </c>
      <c r="H30" s="55">
        <v>0.54</v>
      </c>
      <c r="I30" s="55">
        <v>0.18</v>
      </c>
      <c r="J30" s="55">
        <v>0.98</v>
      </c>
      <c r="K30" s="55">
        <v>2.2000000000000002</v>
      </c>
      <c r="L30" s="55">
        <v>1</v>
      </c>
    </row>
    <row r="31" spans="1:12">
      <c r="A31" s="55">
        <v>24</v>
      </c>
      <c r="B31" s="55" t="s">
        <v>38</v>
      </c>
      <c r="C31" s="55">
        <v>232</v>
      </c>
      <c r="D31" s="55">
        <v>398</v>
      </c>
      <c r="E31" s="55">
        <v>2019</v>
      </c>
      <c r="F31" s="55">
        <v>2614</v>
      </c>
      <c r="G31" s="55">
        <v>-41.71</v>
      </c>
      <c r="H31" s="55">
        <v>-22.76</v>
      </c>
      <c r="I31" s="55">
        <v>0.82</v>
      </c>
      <c r="J31" s="55">
        <v>0.96</v>
      </c>
      <c r="K31" s="55">
        <v>1.81</v>
      </c>
      <c r="L31" s="55">
        <v>1.28</v>
      </c>
    </row>
    <row r="32" spans="1:12">
      <c r="A32" s="55">
        <v>25</v>
      </c>
      <c r="B32" s="55" t="s">
        <v>64</v>
      </c>
      <c r="C32" s="55">
        <v>207</v>
      </c>
      <c r="D32" s="55">
        <v>117</v>
      </c>
      <c r="E32" s="55">
        <v>2015</v>
      </c>
      <c r="F32" s="55">
        <v>1141</v>
      </c>
      <c r="G32" s="55">
        <v>76.92</v>
      </c>
      <c r="H32" s="55">
        <v>76.599999999999994</v>
      </c>
      <c r="I32" s="55">
        <v>0.74</v>
      </c>
      <c r="J32" s="55">
        <v>0.96</v>
      </c>
      <c r="K32" s="55">
        <v>0.53</v>
      </c>
      <c r="L32" s="55">
        <v>0.56000000000000005</v>
      </c>
    </row>
    <row r="33" spans="1:12">
      <c r="A33" s="55">
        <v>26</v>
      </c>
      <c r="B33" s="55" t="s">
        <v>415</v>
      </c>
      <c r="C33" s="55">
        <v>213</v>
      </c>
      <c r="D33" s="55">
        <v>135</v>
      </c>
      <c r="E33" s="55">
        <v>1989</v>
      </c>
      <c r="F33" s="55">
        <v>1079</v>
      </c>
      <c r="G33" s="55">
        <v>57.78</v>
      </c>
      <c r="H33" s="55">
        <v>84.34</v>
      </c>
      <c r="I33" s="55">
        <v>0.76</v>
      </c>
      <c r="J33" s="55">
        <v>0.95</v>
      </c>
      <c r="K33" s="55">
        <v>0.61</v>
      </c>
      <c r="L33" s="55">
        <v>0.53</v>
      </c>
    </row>
    <row r="34" spans="1:12">
      <c r="A34" s="55">
        <v>27</v>
      </c>
      <c r="B34" s="55" t="s">
        <v>41</v>
      </c>
      <c r="C34" s="55">
        <v>273</v>
      </c>
      <c r="D34" s="55">
        <v>199</v>
      </c>
      <c r="E34" s="55">
        <v>1941</v>
      </c>
      <c r="F34" s="55">
        <v>3027</v>
      </c>
      <c r="G34" s="55">
        <v>37.19</v>
      </c>
      <c r="H34" s="55">
        <v>-35.880000000000003</v>
      </c>
      <c r="I34" s="55">
        <v>0.97</v>
      </c>
      <c r="J34" s="55">
        <v>0.92</v>
      </c>
      <c r="K34" s="55">
        <v>0.9</v>
      </c>
      <c r="L34" s="55">
        <v>1.48</v>
      </c>
    </row>
    <row r="35" spans="1:12">
      <c r="A35" s="55">
        <v>28</v>
      </c>
      <c r="B35" s="55" t="s">
        <v>1004</v>
      </c>
      <c r="C35" s="55">
        <v>451</v>
      </c>
      <c r="D35" s="55">
        <v>6</v>
      </c>
      <c r="E35" s="55">
        <v>1882</v>
      </c>
      <c r="F35" s="55">
        <v>6</v>
      </c>
      <c r="G35" s="55">
        <v>7416.67</v>
      </c>
      <c r="H35" s="55">
        <v>31266.67</v>
      </c>
      <c r="I35" s="55">
        <v>1.6</v>
      </c>
      <c r="J35" s="55">
        <v>0.9</v>
      </c>
      <c r="K35" s="55">
        <v>0.03</v>
      </c>
      <c r="L35" s="55">
        <v>0</v>
      </c>
    </row>
    <row r="36" spans="1:12">
      <c r="A36" s="55">
        <v>29</v>
      </c>
      <c r="B36" s="55" t="s">
        <v>40</v>
      </c>
      <c r="C36" s="55">
        <v>328</v>
      </c>
      <c r="D36" s="55">
        <v>293</v>
      </c>
      <c r="E36" s="55">
        <v>1853</v>
      </c>
      <c r="F36" s="55">
        <v>2972</v>
      </c>
      <c r="G36" s="55">
        <v>11.95</v>
      </c>
      <c r="H36" s="55">
        <v>-37.65</v>
      </c>
      <c r="I36" s="55">
        <v>1.17</v>
      </c>
      <c r="J36" s="55">
        <v>0.88</v>
      </c>
      <c r="K36" s="55">
        <v>1.33</v>
      </c>
      <c r="L36" s="55">
        <v>1.45</v>
      </c>
    </row>
    <row r="37" spans="1:12">
      <c r="A37" s="55">
        <v>30</v>
      </c>
      <c r="B37" s="55" t="s">
        <v>82</v>
      </c>
      <c r="C37" s="55">
        <v>208</v>
      </c>
      <c r="D37" s="55">
        <v>9</v>
      </c>
      <c r="E37" s="55">
        <v>1773</v>
      </c>
      <c r="F37" s="55">
        <v>920</v>
      </c>
      <c r="G37" s="55">
        <v>2211.11</v>
      </c>
      <c r="H37" s="55">
        <v>92.72</v>
      </c>
      <c r="I37" s="55">
        <v>0.74</v>
      </c>
      <c r="J37" s="55">
        <v>0.84</v>
      </c>
      <c r="K37" s="55">
        <v>0.04</v>
      </c>
      <c r="L37" s="55">
        <v>0.45</v>
      </c>
    </row>
    <row r="38" spans="1:12">
      <c r="A38" s="55">
        <v>31</v>
      </c>
      <c r="B38" s="55" t="s">
        <v>70</v>
      </c>
      <c r="C38" s="55">
        <v>276</v>
      </c>
      <c r="D38" s="55">
        <v>96</v>
      </c>
      <c r="E38" s="55">
        <v>1723</v>
      </c>
      <c r="F38" s="55">
        <v>1592</v>
      </c>
      <c r="G38" s="55">
        <v>187.5</v>
      </c>
      <c r="H38" s="55">
        <v>8.23</v>
      </c>
      <c r="I38" s="55">
        <v>0.98</v>
      </c>
      <c r="J38" s="55">
        <v>0.82</v>
      </c>
      <c r="K38" s="55">
        <v>0.44</v>
      </c>
      <c r="L38" s="55">
        <v>0.78</v>
      </c>
    </row>
    <row r="39" spans="1:12">
      <c r="A39" s="55">
        <v>32</v>
      </c>
      <c r="B39" s="55" t="s">
        <v>46</v>
      </c>
      <c r="C39" s="55">
        <v>187</v>
      </c>
      <c r="D39" s="55">
        <v>283</v>
      </c>
      <c r="E39" s="55">
        <v>1721</v>
      </c>
      <c r="F39" s="55">
        <v>1697</v>
      </c>
      <c r="G39" s="55">
        <v>-33.92</v>
      </c>
      <c r="H39" s="55">
        <v>1.41</v>
      </c>
      <c r="I39" s="55">
        <v>0.66</v>
      </c>
      <c r="J39" s="55">
        <v>0.82</v>
      </c>
      <c r="K39" s="55">
        <v>1.28</v>
      </c>
      <c r="L39" s="55">
        <v>0.83</v>
      </c>
    </row>
    <row r="40" spans="1:12">
      <c r="A40" s="55">
        <v>33</v>
      </c>
      <c r="B40" s="55" t="s">
        <v>1009</v>
      </c>
      <c r="C40" s="55">
        <v>233</v>
      </c>
      <c r="D40" s="55">
        <v>0</v>
      </c>
      <c r="E40" s="55">
        <v>1683</v>
      </c>
      <c r="F40" s="55">
        <v>0</v>
      </c>
      <c r="G40" s="55">
        <v>0</v>
      </c>
      <c r="H40" s="55">
        <v>0</v>
      </c>
      <c r="I40" s="55">
        <v>0.83</v>
      </c>
      <c r="J40" s="55">
        <v>0.8</v>
      </c>
      <c r="K40" s="55">
        <v>0</v>
      </c>
      <c r="L40" s="55">
        <v>0</v>
      </c>
    </row>
    <row r="41" spans="1:12">
      <c r="A41" s="55">
        <v>34</v>
      </c>
      <c r="B41" s="55" t="s">
        <v>84</v>
      </c>
      <c r="C41" s="55">
        <v>180</v>
      </c>
      <c r="D41" s="55">
        <v>207</v>
      </c>
      <c r="E41" s="55">
        <v>1607</v>
      </c>
      <c r="F41" s="55">
        <v>3246</v>
      </c>
      <c r="G41" s="55">
        <v>-13.04</v>
      </c>
      <c r="H41" s="55">
        <v>-50.49</v>
      </c>
      <c r="I41" s="55">
        <v>0.64</v>
      </c>
      <c r="J41" s="55">
        <v>0.77</v>
      </c>
      <c r="K41" s="55">
        <v>0.94</v>
      </c>
      <c r="L41" s="55">
        <v>1.59</v>
      </c>
    </row>
    <row r="42" spans="1:12">
      <c r="A42" s="55">
        <v>35</v>
      </c>
      <c r="B42" s="55" t="s">
        <v>692</v>
      </c>
      <c r="C42" s="55">
        <v>211</v>
      </c>
      <c r="D42" s="55">
        <v>147</v>
      </c>
      <c r="E42" s="55">
        <v>1587</v>
      </c>
      <c r="F42" s="55">
        <v>787</v>
      </c>
      <c r="G42" s="55">
        <v>43.54</v>
      </c>
      <c r="H42" s="55">
        <v>101.65</v>
      </c>
      <c r="I42" s="55">
        <v>0.75</v>
      </c>
      <c r="J42" s="55">
        <v>0.76</v>
      </c>
      <c r="K42" s="55">
        <v>0.67</v>
      </c>
      <c r="L42" s="55">
        <v>0.38</v>
      </c>
    </row>
    <row r="43" spans="1:12">
      <c r="A43" s="55">
        <v>36</v>
      </c>
      <c r="B43" s="55" t="s">
        <v>67</v>
      </c>
      <c r="C43" s="55">
        <v>167</v>
      </c>
      <c r="D43" s="55">
        <v>133</v>
      </c>
      <c r="E43" s="55">
        <v>1554</v>
      </c>
      <c r="F43" s="55">
        <v>1732</v>
      </c>
      <c r="G43" s="55">
        <v>25.56</v>
      </c>
      <c r="H43" s="55">
        <v>-10.28</v>
      </c>
      <c r="I43" s="55">
        <v>0.59</v>
      </c>
      <c r="J43" s="55">
        <v>0.74</v>
      </c>
      <c r="K43" s="55">
        <v>0.6</v>
      </c>
      <c r="L43" s="55">
        <v>0.85</v>
      </c>
    </row>
    <row r="44" spans="1:12">
      <c r="A44" s="55">
        <v>37</v>
      </c>
      <c r="B44" s="55" t="s">
        <v>57</v>
      </c>
      <c r="C44" s="55">
        <v>266</v>
      </c>
      <c r="D44" s="55">
        <v>149</v>
      </c>
      <c r="E44" s="55">
        <v>1516</v>
      </c>
      <c r="F44" s="55">
        <v>1492</v>
      </c>
      <c r="G44" s="55">
        <v>78.52</v>
      </c>
      <c r="H44" s="55">
        <v>1.61</v>
      </c>
      <c r="I44" s="55">
        <v>0.95</v>
      </c>
      <c r="J44" s="55">
        <v>0.72</v>
      </c>
      <c r="K44" s="55">
        <v>0.68</v>
      </c>
      <c r="L44" s="55">
        <v>0.73</v>
      </c>
    </row>
    <row r="45" spans="1:12">
      <c r="A45" s="55">
        <v>38</v>
      </c>
      <c r="B45" s="55" t="s">
        <v>52</v>
      </c>
      <c r="C45" s="55">
        <v>178</v>
      </c>
      <c r="D45" s="55">
        <v>135</v>
      </c>
      <c r="E45" s="55">
        <v>1476</v>
      </c>
      <c r="F45" s="55">
        <v>2288</v>
      </c>
      <c r="G45" s="55">
        <v>31.85</v>
      </c>
      <c r="H45" s="55">
        <v>-35.49</v>
      </c>
      <c r="I45" s="55">
        <v>0.63</v>
      </c>
      <c r="J45" s="55">
        <v>0.7</v>
      </c>
      <c r="K45" s="55">
        <v>0.61</v>
      </c>
      <c r="L45" s="55">
        <v>1.1200000000000001</v>
      </c>
    </row>
    <row r="46" spans="1:12">
      <c r="A46" s="55">
        <v>39</v>
      </c>
      <c r="B46" s="55" t="s">
        <v>56</v>
      </c>
      <c r="C46" s="55">
        <v>70</v>
      </c>
      <c r="D46" s="55">
        <v>94</v>
      </c>
      <c r="E46" s="55">
        <v>1474</v>
      </c>
      <c r="F46" s="55">
        <v>1175</v>
      </c>
      <c r="G46" s="55">
        <v>-25.53</v>
      </c>
      <c r="H46" s="55">
        <v>25.45</v>
      </c>
      <c r="I46" s="55">
        <v>0.25</v>
      </c>
      <c r="J46" s="55">
        <v>0.7</v>
      </c>
      <c r="K46" s="55">
        <v>0.43</v>
      </c>
      <c r="L46" s="55">
        <v>0.56999999999999995</v>
      </c>
    </row>
    <row r="47" spans="1:12">
      <c r="A47" s="55">
        <v>40</v>
      </c>
      <c r="B47" s="55" t="s">
        <v>72</v>
      </c>
      <c r="C47" s="55">
        <v>226</v>
      </c>
      <c r="D47" s="55">
        <v>132</v>
      </c>
      <c r="E47" s="55">
        <v>1457</v>
      </c>
      <c r="F47" s="55">
        <v>1268</v>
      </c>
      <c r="G47" s="55">
        <v>71.209999999999994</v>
      </c>
      <c r="H47" s="55">
        <v>14.91</v>
      </c>
      <c r="I47" s="55">
        <v>0.8</v>
      </c>
      <c r="J47" s="55">
        <v>0.69</v>
      </c>
      <c r="K47" s="55">
        <v>0.6</v>
      </c>
      <c r="L47" s="55">
        <v>0.62</v>
      </c>
    </row>
    <row r="48" spans="1:12">
      <c r="A48" s="55">
        <v>41</v>
      </c>
      <c r="B48" s="55" t="s">
        <v>44</v>
      </c>
      <c r="C48" s="55">
        <v>232</v>
      </c>
      <c r="D48" s="55">
        <v>167</v>
      </c>
      <c r="E48" s="55">
        <v>1437</v>
      </c>
      <c r="F48" s="55">
        <v>1515</v>
      </c>
      <c r="G48" s="55">
        <v>38.92</v>
      </c>
      <c r="H48" s="55">
        <v>-5.15</v>
      </c>
      <c r="I48" s="55">
        <v>0.82</v>
      </c>
      <c r="J48" s="55">
        <v>0.68</v>
      </c>
      <c r="K48" s="55">
        <v>0.76</v>
      </c>
      <c r="L48" s="55">
        <v>0.74</v>
      </c>
    </row>
    <row r="49" spans="1:12">
      <c r="A49" s="55">
        <v>42</v>
      </c>
      <c r="B49" s="55" t="s">
        <v>74</v>
      </c>
      <c r="C49" s="55">
        <v>231</v>
      </c>
      <c r="D49" s="55">
        <v>140</v>
      </c>
      <c r="E49" s="55">
        <v>1398</v>
      </c>
      <c r="F49" s="55">
        <v>1660</v>
      </c>
      <c r="G49" s="55">
        <v>65</v>
      </c>
      <c r="H49" s="55">
        <v>-15.78</v>
      </c>
      <c r="I49" s="55">
        <v>0.82</v>
      </c>
      <c r="J49" s="55">
        <v>0.67</v>
      </c>
      <c r="K49" s="55">
        <v>0.63</v>
      </c>
      <c r="L49" s="55">
        <v>0.81</v>
      </c>
    </row>
    <row r="50" spans="1:12">
      <c r="A50" s="55">
        <v>43</v>
      </c>
      <c r="B50" s="55" t="s">
        <v>480</v>
      </c>
      <c r="C50" s="55">
        <v>112</v>
      </c>
      <c r="D50" s="55">
        <v>233</v>
      </c>
      <c r="E50" s="55">
        <v>1391</v>
      </c>
      <c r="F50" s="55">
        <v>1076</v>
      </c>
      <c r="G50" s="55">
        <v>-51.93</v>
      </c>
      <c r="H50" s="55">
        <v>29.28</v>
      </c>
      <c r="I50" s="55">
        <v>0.4</v>
      </c>
      <c r="J50" s="55">
        <v>0.66</v>
      </c>
      <c r="K50" s="55">
        <v>1.06</v>
      </c>
      <c r="L50" s="55">
        <v>0.53</v>
      </c>
    </row>
    <row r="51" spans="1:12">
      <c r="A51" s="55">
        <v>44</v>
      </c>
      <c r="B51" s="55" t="s">
        <v>116</v>
      </c>
      <c r="C51" s="55">
        <v>173</v>
      </c>
      <c r="D51" s="55">
        <v>226</v>
      </c>
      <c r="E51" s="55">
        <v>1381</v>
      </c>
      <c r="F51" s="55">
        <v>1305</v>
      </c>
      <c r="G51" s="55">
        <v>-23.45</v>
      </c>
      <c r="H51" s="55">
        <v>5.82</v>
      </c>
      <c r="I51" s="55">
        <v>0.61</v>
      </c>
      <c r="J51" s="55">
        <v>0.66</v>
      </c>
      <c r="K51" s="55">
        <v>1.03</v>
      </c>
      <c r="L51" s="55">
        <v>0.64</v>
      </c>
    </row>
    <row r="52" spans="1:12">
      <c r="A52" s="55">
        <v>45</v>
      </c>
      <c r="B52" s="55" t="s">
        <v>51</v>
      </c>
      <c r="C52" s="55">
        <v>155</v>
      </c>
      <c r="D52" s="55">
        <v>189</v>
      </c>
      <c r="E52" s="55">
        <v>1345</v>
      </c>
      <c r="F52" s="55">
        <v>1989</v>
      </c>
      <c r="G52" s="55">
        <v>-17.989999999999998</v>
      </c>
      <c r="H52" s="55">
        <v>-32.380000000000003</v>
      </c>
      <c r="I52" s="55">
        <v>0.55000000000000004</v>
      </c>
      <c r="J52" s="55">
        <v>0.64</v>
      </c>
      <c r="K52" s="55">
        <v>0.86</v>
      </c>
      <c r="L52" s="55">
        <v>0.97</v>
      </c>
    </row>
    <row r="53" spans="1:12">
      <c r="A53" s="55">
        <v>46</v>
      </c>
      <c r="B53" s="55" t="s">
        <v>694</v>
      </c>
      <c r="C53" s="55">
        <v>208</v>
      </c>
      <c r="D53" s="55">
        <v>198</v>
      </c>
      <c r="E53" s="55">
        <v>1344</v>
      </c>
      <c r="F53" s="55">
        <v>667</v>
      </c>
      <c r="G53" s="55">
        <v>5.05</v>
      </c>
      <c r="H53" s="55">
        <v>101.5</v>
      </c>
      <c r="I53" s="55">
        <v>0.74</v>
      </c>
      <c r="J53" s="55">
        <v>0.64</v>
      </c>
      <c r="K53" s="55">
        <v>0.9</v>
      </c>
      <c r="L53" s="55">
        <v>0.33</v>
      </c>
    </row>
    <row r="54" spans="1:12">
      <c r="A54" s="55">
        <v>47</v>
      </c>
      <c r="B54" s="55" t="s">
        <v>94</v>
      </c>
      <c r="C54" s="55">
        <v>209</v>
      </c>
      <c r="D54" s="55">
        <v>285</v>
      </c>
      <c r="E54" s="55">
        <v>1328</v>
      </c>
      <c r="F54" s="55">
        <v>2474</v>
      </c>
      <c r="G54" s="55">
        <v>-26.67</v>
      </c>
      <c r="H54" s="55">
        <v>-46.32</v>
      </c>
      <c r="I54" s="55">
        <v>0.74</v>
      </c>
      <c r="J54" s="55">
        <v>0.63</v>
      </c>
      <c r="K54" s="55">
        <v>1.29</v>
      </c>
      <c r="L54" s="55">
        <v>1.21</v>
      </c>
    </row>
    <row r="55" spans="1:12">
      <c r="A55" s="55">
        <v>48</v>
      </c>
      <c r="B55" s="55" t="s">
        <v>78</v>
      </c>
      <c r="C55" s="55">
        <v>178</v>
      </c>
      <c r="D55" s="55">
        <v>116</v>
      </c>
      <c r="E55" s="55">
        <v>1325</v>
      </c>
      <c r="F55" s="55">
        <v>1529</v>
      </c>
      <c r="G55" s="55">
        <v>53.45</v>
      </c>
      <c r="H55" s="55">
        <v>-13.34</v>
      </c>
      <c r="I55" s="55">
        <v>0.63</v>
      </c>
      <c r="J55" s="55">
        <v>0.63</v>
      </c>
      <c r="K55" s="55">
        <v>0.53</v>
      </c>
      <c r="L55" s="55">
        <v>0.75</v>
      </c>
    </row>
    <row r="56" spans="1:12">
      <c r="A56" s="55">
        <v>49</v>
      </c>
      <c r="B56" s="55" t="s">
        <v>569</v>
      </c>
      <c r="C56" s="55">
        <v>54</v>
      </c>
      <c r="D56" s="55">
        <v>219</v>
      </c>
      <c r="E56" s="55">
        <v>1297</v>
      </c>
      <c r="F56" s="55">
        <v>1598</v>
      </c>
      <c r="G56" s="55">
        <v>-75.34</v>
      </c>
      <c r="H56" s="55">
        <v>-18.84</v>
      </c>
      <c r="I56" s="55">
        <v>0.19</v>
      </c>
      <c r="J56" s="55">
        <v>0.62</v>
      </c>
      <c r="K56" s="55">
        <v>0.99</v>
      </c>
      <c r="L56" s="55">
        <v>0.78</v>
      </c>
    </row>
    <row r="57" spans="1:12">
      <c r="A57" s="55">
        <v>50</v>
      </c>
      <c r="B57" s="55" t="s">
        <v>136</v>
      </c>
      <c r="C57" s="55">
        <v>170</v>
      </c>
      <c r="D57" s="55">
        <v>40</v>
      </c>
      <c r="E57" s="55">
        <v>1281</v>
      </c>
      <c r="F57" s="55">
        <v>1306</v>
      </c>
      <c r="G57" s="55">
        <v>325</v>
      </c>
      <c r="H57" s="55">
        <v>-1.91</v>
      </c>
      <c r="I57" s="55">
        <v>0.6</v>
      </c>
      <c r="J57" s="55">
        <v>0.61</v>
      </c>
      <c r="K57" s="55">
        <v>0.18</v>
      </c>
      <c r="L57" s="55">
        <v>0.64</v>
      </c>
    </row>
    <row r="58" spans="1:12">
      <c r="A58" s="55">
        <v>51</v>
      </c>
      <c r="B58" s="55" t="s">
        <v>49</v>
      </c>
      <c r="C58" s="55">
        <v>91</v>
      </c>
      <c r="D58" s="55">
        <v>222</v>
      </c>
      <c r="E58" s="55">
        <v>1250</v>
      </c>
      <c r="F58" s="55">
        <v>2094</v>
      </c>
      <c r="G58" s="55">
        <v>-59.01</v>
      </c>
      <c r="H58" s="55">
        <v>-40.31</v>
      </c>
      <c r="I58" s="55">
        <v>0.32</v>
      </c>
      <c r="J58" s="55">
        <v>0.6</v>
      </c>
      <c r="K58" s="55">
        <v>1.01</v>
      </c>
      <c r="L58" s="55">
        <v>1.02</v>
      </c>
    </row>
    <row r="59" spans="1:12">
      <c r="A59" s="55">
        <v>52</v>
      </c>
      <c r="B59" s="55" t="s">
        <v>87</v>
      </c>
      <c r="C59" s="55">
        <v>109</v>
      </c>
      <c r="D59" s="55">
        <v>155</v>
      </c>
      <c r="E59" s="55">
        <v>1205</v>
      </c>
      <c r="F59" s="55">
        <v>1480</v>
      </c>
      <c r="G59" s="55">
        <v>-29.68</v>
      </c>
      <c r="H59" s="55">
        <v>-18.579999999999998</v>
      </c>
      <c r="I59" s="55">
        <v>0.39</v>
      </c>
      <c r="J59" s="55">
        <v>0.56999999999999995</v>
      </c>
      <c r="K59" s="55">
        <v>0.7</v>
      </c>
      <c r="L59" s="55">
        <v>0.72</v>
      </c>
    </row>
    <row r="60" spans="1:12">
      <c r="A60" s="55">
        <v>53</v>
      </c>
      <c r="B60" s="55" t="s">
        <v>61</v>
      </c>
      <c r="C60" s="55">
        <v>84</v>
      </c>
      <c r="D60" s="55">
        <v>135</v>
      </c>
      <c r="E60" s="55">
        <v>1179</v>
      </c>
      <c r="F60" s="55">
        <v>1721</v>
      </c>
      <c r="G60" s="55">
        <v>-37.78</v>
      </c>
      <c r="H60" s="55">
        <v>-31.49</v>
      </c>
      <c r="I60" s="55">
        <v>0.3</v>
      </c>
      <c r="J60" s="55">
        <v>0.56000000000000005</v>
      </c>
      <c r="K60" s="55">
        <v>0.61</v>
      </c>
      <c r="L60" s="55">
        <v>0.84</v>
      </c>
    </row>
    <row r="61" spans="1:12">
      <c r="A61" s="55">
        <v>54</v>
      </c>
      <c r="B61" s="55" t="s">
        <v>58</v>
      </c>
      <c r="C61" s="55">
        <v>251</v>
      </c>
      <c r="D61" s="55">
        <v>14</v>
      </c>
      <c r="E61" s="55">
        <v>1172</v>
      </c>
      <c r="F61" s="55">
        <v>781</v>
      </c>
      <c r="G61" s="55">
        <v>1692.86</v>
      </c>
      <c r="H61" s="55">
        <v>50.06</v>
      </c>
      <c r="I61" s="55">
        <v>0.89</v>
      </c>
      <c r="J61" s="55">
        <v>0.56000000000000005</v>
      </c>
      <c r="K61" s="55">
        <v>0.06</v>
      </c>
      <c r="L61" s="55">
        <v>0.38</v>
      </c>
    </row>
    <row r="62" spans="1:12">
      <c r="A62" s="55">
        <v>55</v>
      </c>
      <c r="B62" s="55" t="s">
        <v>90</v>
      </c>
      <c r="C62" s="55">
        <v>194</v>
      </c>
      <c r="D62" s="55">
        <v>166</v>
      </c>
      <c r="E62" s="55">
        <v>1137</v>
      </c>
      <c r="F62" s="55">
        <v>1713</v>
      </c>
      <c r="G62" s="55">
        <v>16.87</v>
      </c>
      <c r="H62" s="55">
        <v>-33.630000000000003</v>
      </c>
      <c r="I62" s="55">
        <v>0.69</v>
      </c>
      <c r="J62" s="55">
        <v>0.54</v>
      </c>
      <c r="K62" s="55">
        <v>0.75</v>
      </c>
      <c r="L62" s="55">
        <v>0.84</v>
      </c>
    </row>
    <row r="63" spans="1:12">
      <c r="A63" s="55">
        <v>56</v>
      </c>
      <c r="B63" s="55" t="s">
        <v>53</v>
      </c>
      <c r="C63" s="55">
        <v>91</v>
      </c>
      <c r="D63" s="55">
        <v>98</v>
      </c>
      <c r="E63" s="55">
        <v>1137</v>
      </c>
      <c r="F63" s="55">
        <v>1258</v>
      </c>
      <c r="G63" s="55">
        <v>-7.14</v>
      </c>
      <c r="H63" s="55">
        <v>-9.6199999999999992</v>
      </c>
      <c r="I63" s="55">
        <v>0.32</v>
      </c>
      <c r="J63" s="55">
        <v>0.54</v>
      </c>
      <c r="K63" s="55">
        <v>0.44</v>
      </c>
      <c r="L63" s="55">
        <v>0.61</v>
      </c>
    </row>
    <row r="64" spans="1:12">
      <c r="A64" s="55">
        <v>57</v>
      </c>
      <c r="B64" s="55" t="s">
        <v>641</v>
      </c>
      <c r="C64" s="55">
        <v>82</v>
      </c>
      <c r="D64" s="55">
        <v>87</v>
      </c>
      <c r="E64" s="55">
        <v>1133</v>
      </c>
      <c r="F64" s="55">
        <v>1071</v>
      </c>
      <c r="G64" s="55">
        <v>-5.75</v>
      </c>
      <c r="H64" s="55">
        <v>5.79</v>
      </c>
      <c r="I64" s="55">
        <v>0.28999999999999998</v>
      </c>
      <c r="J64" s="55">
        <v>0.54</v>
      </c>
      <c r="K64" s="55">
        <v>0.39</v>
      </c>
      <c r="L64" s="55">
        <v>0.52</v>
      </c>
    </row>
    <row r="65" spans="1:12">
      <c r="A65" s="55">
        <v>58</v>
      </c>
      <c r="B65" s="55" t="s">
        <v>48</v>
      </c>
      <c r="C65" s="55">
        <v>158</v>
      </c>
      <c r="D65" s="55">
        <v>98</v>
      </c>
      <c r="E65" s="55">
        <v>1126</v>
      </c>
      <c r="F65" s="55">
        <v>1120</v>
      </c>
      <c r="G65" s="55">
        <v>61.22</v>
      </c>
      <c r="H65" s="55">
        <v>0.54</v>
      </c>
      <c r="I65" s="55">
        <v>0.56000000000000005</v>
      </c>
      <c r="J65" s="55">
        <v>0.54</v>
      </c>
      <c r="K65" s="55">
        <v>0.44</v>
      </c>
      <c r="L65" s="55">
        <v>0.55000000000000004</v>
      </c>
    </row>
    <row r="66" spans="1:12">
      <c r="A66" s="55">
        <v>59</v>
      </c>
      <c r="B66" s="55" t="s">
        <v>638</v>
      </c>
      <c r="C66" s="55">
        <v>228</v>
      </c>
      <c r="D66" s="55">
        <v>0</v>
      </c>
      <c r="E66" s="55">
        <v>1116</v>
      </c>
      <c r="F66" s="55">
        <v>0</v>
      </c>
      <c r="G66" s="55">
        <v>0</v>
      </c>
      <c r="H66" s="55">
        <v>0</v>
      </c>
      <c r="I66" s="55">
        <v>0.81</v>
      </c>
      <c r="J66" s="55">
        <v>0.53</v>
      </c>
      <c r="K66" s="55">
        <v>0</v>
      </c>
      <c r="L66" s="55">
        <v>0</v>
      </c>
    </row>
    <row r="67" spans="1:12">
      <c r="A67" s="55">
        <v>60</v>
      </c>
      <c r="B67" s="55" t="s">
        <v>633</v>
      </c>
      <c r="C67" s="55">
        <v>314</v>
      </c>
      <c r="D67" s="55">
        <v>242</v>
      </c>
      <c r="E67" s="55">
        <v>1109</v>
      </c>
      <c r="F67" s="55">
        <v>1113</v>
      </c>
      <c r="G67" s="55">
        <v>29.75</v>
      </c>
      <c r="H67" s="55">
        <v>-0.36</v>
      </c>
      <c r="I67" s="55">
        <v>1.1200000000000001</v>
      </c>
      <c r="J67" s="55">
        <v>0.53</v>
      </c>
      <c r="K67" s="55">
        <v>1.1000000000000001</v>
      </c>
      <c r="L67" s="55">
        <v>0.54</v>
      </c>
    </row>
    <row r="68" spans="1:12">
      <c r="A68" s="55">
        <v>61</v>
      </c>
      <c r="B68" s="55" t="s">
        <v>693</v>
      </c>
      <c r="C68" s="55">
        <v>173</v>
      </c>
      <c r="D68" s="55">
        <v>82</v>
      </c>
      <c r="E68" s="55">
        <v>1103</v>
      </c>
      <c r="F68" s="55">
        <v>541</v>
      </c>
      <c r="G68" s="55">
        <v>110.98</v>
      </c>
      <c r="H68" s="55">
        <v>103.88</v>
      </c>
      <c r="I68" s="55">
        <v>0.61</v>
      </c>
      <c r="J68" s="55">
        <v>0.53</v>
      </c>
      <c r="K68" s="55">
        <v>0.37</v>
      </c>
      <c r="L68" s="55">
        <v>0.26</v>
      </c>
    </row>
    <row r="69" spans="1:12">
      <c r="A69" s="55">
        <v>62</v>
      </c>
      <c r="B69" s="55" t="s">
        <v>568</v>
      </c>
      <c r="C69" s="55">
        <v>152</v>
      </c>
      <c r="D69" s="55">
        <v>101</v>
      </c>
      <c r="E69" s="55">
        <v>1094</v>
      </c>
      <c r="F69" s="55">
        <v>1151</v>
      </c>
      <c r="G69" s="55">
        <v>50.5</v>
      </c>
      <c r="H69" s="55">
        <v>-4.95</v>
      </c>
      <c r="I69" s="55">
        <v>0.54</v>
      </c>
      <c r="J69" s="55">
        <v>0.52</v>
      </c>
      <c r="K69" s="55">
        <v>0.46</v>
      </c>
      <c r="L69" s="55">
        <v>0.56000000000000005</v>
      </c>
    </row>
    <row r="70" spans="1:12">
      <c r="A70" s="55">
        <v>63</v>
      </c>
      <c r="B70" s="55" t="s">
        <v>99</v>
      </c>
      <c r="C70" s="55">
        <v>108</v>
      </c>
      <c r="D70" s="55">
        <v>233</v>
      </c>
      <c r="E70" s="55">
        <v>1060</v>
      </c>
      <c r="F70" s="55">
        <v>1856</v>
      </c>
      <c r="G70" s="55">
        <v>-53.65</v>
      </c>
      <c r="H70" s="55">
        <v>-42.89</v>
      </c>
      <c r="I70" s="55">
        <v>0.38</v>
      </c>
      <c r="J70" s="55">
        <v>0.5</v>
      </c>
      <c r="K70" s="55">
        <v>1.06</v>
      </c>
      <c r="L70" s="55">
        <v>0.91</v>
      </c>
    </row>
    <row r="71" spans="1:12">
      <c r="A71" s="55">
        <v>64</v>
      </c>
      <c r="B71" s="55" t="s">
        <v>104</v>
      </c>
      <c r="C71" s="55">
        <v>58</v>
      </c>
      <c r="D71" s="55">
        <v>48</v>
      </c>
      <c r="E71" s="55">
        <v>1053</v>
      </c>
      <c r="F71" s="55">
        <v>478</v>
      </c>
      <c r="G71" s="55">
        <v>20.83</v>
      </c>
      <c r="H71" s="55">
        <v>120.29</v>
      </c>
      <c r="I71" s="55">
        <v>0.21</v>
      </c>
      <c r="J71" s="55">
        <v>0.5</v>
      </c>
      <c r="K71" s="55">
        <v>0.22</v>
      </c>
      <c r="L71" s="55">
        <v>0.23</v>
      </c>
    </row>
    <row r="72" spans="1:12">
      <c r="A72" s="55">
        <v>65</v>
      </c>
      <c r="B72" s="55" t="s">
        <v>980</v>
      </c>
      <c r="C72" s="55">
        <v>133</v>
      </c>
      <c r="D72" s="55">
        <v>205</v>
      </c>
      <c r="E72" s="55">
        <v>1052</v>
      </c>
      <c r="F72" s="55">
        <v>308</v>
      </c>
      <c r="G72" s="55">
        <v>-35.119999999999997</v>
      </c>
      <c r="H72" s="55">
        <v>241.56</v>
      </c>
      <c r="I72" s="55">
        <v>0.47</v>
      </c>
      <c r="J72" s="55">
        <v>0.5</v>
      </c>
      <c r="K72" s="55">
        <v>0.93</v>
      </c>
      <c r="L72" s="55">
        <v>0.15</v>
      </c>
    </row>
    <row r="73" spans="1:12">
      <c r="A73" s="55">
        <v>66</v>
      </c>
      <c r="B73" s="55" t="s">
        <v>93</v>
      </c>
      <c r="C73" s="55">
        <v>75</v>
      </c>
      <c r="D73" s="55">
        <v>84</v>
      </c>
      <c r="E73" s="55">
        <v>1017</v>
      </c>
      <c r="F73" s="55">
        <v>555</v>
      </c>
      <c r="G73" s="55">
        <v>-10.71</v>
      </c>
      <c r="H73" s="55">
        <v>83.24</v>
      </c>
      <c r="I73" s="55">
        <v>0.27</v>
      </c>
      <c r="J73" s="55">
        <v>0.48</v>
      </c>
      <c r="K73" s="55">
        <v>0.38</v>
      </c>
      <c r="L73" s="55">
        <v>0.27</v>
      </c>
    </row>
    <row r="74" spans="1:12">
      <c r="A74" s="55">
        <v>67</v>
      </c>
      <c r="B74" s="55" t="s">
        <v>1127</v>
      </c>
      <c r="C74" s="55">
        <v>113</v>
      </c>
      <c r="D74" s="55">
        <v>0</v>
      </c>
      <c r="E74" s="55">
        <v>1007</v>
      </c>
      <c r="F74" s="55">
        <v>95</v>
      </c>
      <c r="G74" s="55">
        <v>0</v>
      </c>
      <c r="H74" s="55">
        <v>960</v>
      </c>
      <c r="I74" s="55">
        <v>0.4</v>
      </c>
      <c r="J74" s="55">
        <v>0.48</v>
      </c>
      <c r="K74" s="55">
        <v>0</v>
      </c>
      <c r="L74" s="55">
        <v>0.05</v>
      </c>
    </row>
    <row r="75" spans="1:12">
      <c r="A75" s="55">
        <v>68</v>
      </c>
      <c r="B75" s="55" t="s">
        <v>134</v>
      </c>
      <c r="C75" s="55">
        <v>167</v>
      </c>
      <c r="D75" s="55">
        <v>49</v>
      </c>
      <c r="E75" s="55">
        <v>1003</v>
      </c>
      <c r="F75" s="55">
        <v>983</v>
      </c>
      <c r="G75" s="55">
        <v>240.82</v>
      </c>
      <c r="H75" s="55">
        <v>2.0299999999999998</v>
      </c>
      <c r="I75" s="55">
        <v>0.59</v>
      </c>
      <c r="J75" s="55">
        <v>0.48</v>
      </c>
      <c r="K75" s="55">
        <v>0.22</v>
      </c>
      <c r="L75" s="55">
        <v>0.48</v>
      </c>
    </row>
    <row r="76" spans="1:12">
      <c r="A76" s="55">
        <v>69</v>
      </c>
      <c r="B76" s="55" t="s">
        <v>194</v>
      </c>
      <c r="C76" s="55">
        <v>133</v>
      </c>
      <c r="D76" s="55">
        <v>90</v>
      </c>
      <c r="E76" s="55">
        <v>979</v>
      </c>
      <c r="F76" s="55">
        <v>791</v>
      </c>
      <c r="G76" s="55">
        <v>47.78</v>
      </c>
      <c r="H76" s="55">
        <v>23.77</v>
      </c>
      <c r="I76" s="55">
        <v>0.47</v>
      </c>
      <c r="J76" s="55">
        <v>0.47</v>
      </c>
      <c r="K76" s="55">
        <v>0.41</v>
      </c>
      <c r="L76" s="55">
        <v>0.39</v>
      </c>
    </row>
    <row r="77" spans="1:12">
      <c r="A77" s="55">
        <v>70</v>
      </c>
      <c r="B77" s="55" t="s">
        <v>60</v>
      </c>
      <c r="C77" s="55">
        <v>65</v>
      </c>
      <c r="D77" s="55">
        <v>114</v>
      </c>
      <c r="E77" s="55">
        <v>932</v>
      </c>
      <c r="F77" s="55">
        <v>1148</v>
      </c>
      <c r="G77" s="55">
        <v>-42.98</v>
      </c>
      <c r="H77" s="55">
        <v>-18.82</v>
      </c>
      <c r="I77" s="55">
        <v>0.23</v>
      </c>
      <c r="J77" s="55">
        <v>0.44</v>
      </c>
      <c r="K77" s="55">
        <v>0.52</v>
      </c>
      <c r="L77" s="55">
        <v>0.56000000000000005</v>
      </c>
    </row>
    <row r="78" spans="1:12">
      <c r="A78" s="55">
        <v>71</v>
      </c>
      <c r="B78" s="55" t="s">
        <v>118</v>
      </c>
      <c r="C78" s="55">
        <v>84</v>
      </c>
      <c r="D78" s="55">
        <v>101</v>
      </c>
      <c r="E78" s="55">
        <v>932</v>
      </c>
      <c r="F78" s="55">
        <v>779</v>
      </c>
      <c r="G78" s="55">
        <v>-16.829999999999998</v>
      </c>
      <c r="H78" s="55">
        <v>19.64</v>
      </c>
      <c r="I78" s="55">
        <v>0.3</v>
      </c>
      <c r="J78" s="55">
        <v>0.44</v>
      </c>
      <c r="K78" s="55">
        <v>0.46</v>
      </c>
      <c r="L78" s="55">
        <v>0.38</v>
      </c>
    </row>
    <row r="79" spans="1:12">
      <c r="A79" s="55">
        <v>72</v>
      </c>
      <c r="B79" s="55" t="s">
        <v>584</v>
      </c>
      <c r="C79" s="55">
        <v>298</v>
      </c>
      <c r="D79" s="55">
        <v>148</v>
      </c>
      <c r="E79" s="55">
        <v>930</v>
      </c>
      <c r="F79" s="55">
        <v>2222</v>
      </c>
      <c r="G79" s="55">
        <v>101.35</v>
      </c>
      <c r="H79" s="55">
        <v>-58.15</v>
      </c>
      <c r="I79" s="55">
        <v>1.06</v>
      </c>
      <c r="J79" s="55">
        <v>0.44</v>
      </c>
      <c r="K79" s="55">
        <v>0.67</v>
      </c>
      <c r="L79" s="55">
        <v>1.0900000000000001</v>
      </c>
    </row>
    <row r="80" spans="1:12">
      <c r="A80" s="55">
        <v>73</v>
      </c>
      <c r="B80" s="55" t="s">
        <v>77</v>
      </c>
      <c r="C80" s="55">
        <v>126</v>
      </c>
      <c r="D80" s="55">
        <v>185</v>
      </c>
      <c r="E80" s="55">
        <v>902</v>
      </c>
      <c r="F80" s="55">
        <v>960</v>
      </c>
      <c r="G80" s="55">
        <v>-31.89</v>
      </c>
      <c r="H80" s="55">
        <v>-6.04</v>
      </c>
      <c r="I80" s="55">
        <v>0.45</v>
      </c>
      <c r="J80" s="55">
        <v>0.43</v>
      </c>
      <c r="K80" s="55">
        <v>0.84</v>
      </c>
      <c r="L80" s="55">
        <v>0.47</v>
      </c>
    </row>
    <row r="81" spans="1:12">
      <c r="A81" s="55">
        <v>74</v>
      </c>
      <c r="B81" s="55" t="s">
        <v>651</v>
      </c>
      <c r="C81" s="55">
        <v>190</v>
      </c>
      <c r="D81" s="55">
        <v>42</v>
      </c>
      <c r="E81" s="55">
        <v>898</v>
      </c>
      <c r="F81" s="55">
        <v>371</v>
      </c>
      <c r="G81" s="55">
        <v>352.38</v>
      </c>
      <c r="H81" s="55">
        <v>142.05000000000001</v>
      </c>
      <c r="I81" s="55">
        <v>0.68</v>
      </c>
      <c r="J81" s="55">
        <v>0.43</v>
      </c>
      <c r="K81" s="55">
        <v>0.19</v>
      </c>
      <c r="L81" s="55">
        <v>0.18</v>
      </c>
    </row>
    <row r="82" spans="1:12">
      <c r="A82" s="55">
        <v>75</v>
      </c>
      <c r="B82" s="55" t="s">
        <v>59</v>
      </c>
      <c r="C82" s="55">
        <v>92</v>
      </c>
      <c r="D82" s="55">
        <v>86</v>
      </c>
      <c r="E82" s="55">
        <v>895</v>
      </c>
      <c r="F82" s="55">
        <v>1089</v>
      </c>
      <c r="G82" s="55">
        <v>6.98</v>
      </c>
      <c r="H82" s="55">
        <v>-17.809999999999999</v>
      </c>
      <c r="I82" s="55">
        <v>0.33</v>
      </c>
      <c r="J82" s="55">
        <v>0.43</v>
      </c>
      <c r="K82" s="55">
        <v>0.39</v>
      </c>
      <c r="L82" s="55">
        <v>0.53</v>
      </c>
    </row>
    <row r="83" spans="1:12">
      <c r="A83" s="55">
        <v>76</v>
      </c>
      <c r="B83" s="55" t="s">
        <v>85</v>
      </c>
      <c r="C83" s="55">
        <v>77</v>
      </c>
      <c r="D83" s="55">
        <v>39</v>
      </c>
      <c r="E83" s="55">
        <v>893</v>
      </c>
      <c r="F83" s="55">
        <v>561</v>
      </c>
      <c r="G83" s="55">
        <v>97.44</v>
      </c>
      <c r="H83" s="55">
        <v>59.18</v>
      </c>
      <c r="I83" s="55">
        <v>0.27</v>
      </c>
      <c r="J83" s="55">
        <v>0.43</v>
      </c>
      <c r="K83" s="55">
        <v>0.18</v>
      </c>
      <c r="L83" s="55">
        <v>0.27</v>
      </c>
    </row>
    <row r="84" spans="1:12">
      <c r="A84" s="55">
        <v>77</v>
      </c>
      <c r="B84" s="55" t="s">
        <v>80</v>
      </c>
      <c r="C84" s="55">
        <v>143</v>
      </c>
      <c r="D84" s="55">
        <v>68</v>
      </c>
      <c r="E84" s="55">
        <v>874</v>
      </c>
      <c r="F84" s="55">
        <v>427</v>
      </c>
      <c r="G84" s="55">
        <v>110.29</v>
      </c>
      <c r="H84" s="55">
        <v>104.68</v>
      </c>
      <c r="I84" s="55">
        <v>0.51</v>
      </c>
      <c r="J84" s="55">
        <v>0.42</v>
      </c>
      <c r="K84" s="55">
        <v>0.31</v>
      </c>
      <c r="L84" s="55">
        <v>0.21</v>
      </c>
    </row>
    <row r="85" spans="1:12">
      <c r="A85" s="55">
        <v>78</v>
      </c>
      <c r="B85" s="55" t="s">
        <v>147</v>
      </c>
      <c r="C85" s="55">
        <v>83</v>
      </c>
      <c r="D85" s="55">
        <v>18</v>
      </c>
      <c r="E85" s="55">
        <v>871</v>
      </c>
      <c r="F85" s="55">
        <v>352</v>
      </c>
      <c r="G85" s="55">
        <v>361.11</v>
      </c>
      <c r="H85" s="55">
        <v>147.44</v>
      </c>
      <c r="I85" s="55">
        <v>0.3</v>
      </c>
      <c r="J85" s="55">
        <v>0.41</v>
      </c>
      <c r="K85" s="55">
        <v>0.08</v>
      </c>
      <c r="L85" s="55">
        <v>0.17</v>
      </c>
    </row>
    <row r="86" spans="1:12">
      <c r="A86" s="55">
        <v>79</v>
      </c>
      <c r="B86" s="55" t="s">
        <v>76</v>
      </c>
      <c r="C86" s="55">
        <v>98</v>
      </c>
      <c r="D86" s="55">
        <v>75</v>
      </c>
      <c r="E86" s="55">
        <v>863</v>
      </c>
      <c r="F86" s="55">
        <v>778</v>
      </c>
      <c r="G86" s="55">
        <v>30.67</v>
      </c>
      <c r="H86" s="55">
        <v>10.93</v>
      </c>
      <c r="I86" s="55">
        <v>0.35</v>
      </c>
      <c r="J86" s="55">
        <v>0.41</v>
      </c>
      <c r="K86" s="55">
        <v>0.34</v>
      </c>
      <c r="L86" s="55">
        <v>0.38</v>
      </c>
    </row>
    <row r="87" spans="1:12">
      <c r="A87" s="55">
        <v>80</v>
      </c>
      <c r="B87" s="55" t="s">
        <v>63</v>
      </c>
      <c r="C87" s="55">
        <v>70</v>
      </c>
      <c r="D87" s="55">
        <v>97</v>
      </c>
      <c r="E87" s="55">
        <v>839</v>
      </c>
      <c r="F87" s="55">
        <v>1169</v>
      </c>
      <c r="G87" s="55">
        <v>-27.84</v>
      </c>
      <c r="H87" s="55">
        <v>-28.23</v>
      </c>
      <c r="I87" s="55">
        <v>0.25</v>
      </c>
      <c r="J87" s="55">
        <v>0.4</v>
      </c>
      <c r="K87" s="55">
        <v>0.44</v>
      </c>
      <c r="L87" s="55">
        <v>0.56999999999999995</v>
      </c>
    </row>
    <row r="88" spans="1:12">
      <c r="A88" s="55">
        <v>81</v>
      </c>
      <c r="B88" s="55" t="s">
        <v>102</v>
      </c>
      <c r="C88" s="55">
        <v>106</v>
      </c>
      <c r="D88" s="55">
        <v>22</v>
      </c>
      <c r="E88" s="55">
        <v>810</v>
      </c>
      <c r="F88" s="55">
        <v>307</v>
      </c>
      <c r="G88" s="55">
        <v>381.82</v>
      </c>
      <c r="H88" s="55">
        <v>163.84</v>
      </c>
      <c r="I88" s="55">
        <v>0.38</v>
      </c>
      <c r="J88" s="55">
        <v>0.39</v>
      </c>
      <c r="K88" s="55">
        <v>0.1</v>
      </c>
      <c r="L88" s="55">
        <v>0.15</v>
      </c>
    </row>
    <row r="89" spans="1:12">
      <c r="A89" s="55">
        <v>82</v>
      </c>
      <c r="B89" s="55" t="s">
        <v>68</v>
      </c>
      <c r="C89" s="55">
        <v>109</v>
      </c>
      <c r="D89" s="55">
        <v>69</v>
      </c>
      <c r="E89" s="55">
        <v>802</v>
      </c>
      <c r="F89" s="55">
        <v>1033</v>
      </c>
      <c r="G89" s="55">
        <v>57.97</v>
      </c>
      <c r="H89" s="55">
        <v>-22.36</v>
      </c>
      <c r="I89" s="55">
        <v>0.39</v>
      </c>
      <c r="J89" s="55">
        <v>0.38</v>
      </c>
      <c r="K89" s="55">
        <v>0.31</v>
      </c>
      <c r="L89" s="55">
        <v>0.5</v>
      </c>
    </row>
    <row r="90" spans="1:12">
      <c r="A90" s="55">
        <v>83</v>
      </c>
      <c r="B90" s="55" t="s">
        <v>101</v>
      </c>
      <c r="C90" s="55">
        <v>108</v>
      </c>
      <c r="D90" s="55">
        <v>33</v>
      </c>
      <c r="E90" s="55">
        <v>793</v>
      </c>
      <c r="F90" s="55">
        <v>474</v>
      </c>
      <c r="G90" s="55">
        <v>227.27</v>
      </c>
      <c r="H90" s="55">
        <v>67.3</v>
      </c>
      <c r="I90" s="55">
        <v>0.38</v>
      </c>
      <c r="J90" s="55">
        <v>0.38</v>
      </c>
      <c r="K90" s="55">
        <v>0.15</v>
      </c>
      <c r="L90" s="55">
        <v>0.23</v>
      </c>
    </row>
    <row r="91" spans="1:12">
      <c r="A91" s="55">
        <v>84</v>
      </c>
      <c r="B91" s="55" t="s">
        <v>1055</v>
      </c>
      <c r="C91" s="55">
        <v>182</v>
      </c>
      <c r="D91" s="55">
        <v>0</v>
      </c>
      <c r="E91" s="55">
        <v>755</v>
      </c>
      <c r="F91" s="55">
        <v>0</v>
      </c>
      <c r="G91" s="55">
        <v>0</v>
      </c>
      <c r="H91" s="55">
        <v>0</v>
      </c>
      <c r="I91" s="55">
        <v>0.65</v>
      </c>
      <c r="J91" s="55">
        <v>0.36</v>
      </c>
      <c r="K91" s="55">
        <v>0</v>
      </c>
      <c r="L91" s="55">
        <v>0</v>
      </c>
    </row>
    <row r="92" spans="1:12">
      <c r="A92" s="55">
        <v>85</v>
      </c>
      <c r="B92" s="55" t="s">
        <v>81</v>
      </c>
      <c r="C92" s="55">
        <v>97</v>
      </c>
      <c r="D92" s="55">
        <v>40</v>
      </c>
      <c r="E92" s="55">
        <v>751</v>
      </c>
      <c r="F92" s="55">
        <v>590</v>
      </c>
      <c r="G92" s="55">
        <v>142.5</v>
      </c>
      <c r="H92" s="55">
        <v>27.29</v>
      </c>
      <c r="I92" s="55">
        <v>0.34</v>
      </c>
      <c r="J92" s="55">
        <v>0.36</v>
      </c>
      <c r="K92" s="55">
        <v>0.18</v>
      </c>
      <c r="L92" s="55">
        <v>0.28999999999999998</v>
      </c>
    </row>
    <row r="93" spans="1:12">
      <c r="A93" s="55">
        <v>86</v>
      </c>
      <c r="B93" s="55" t="s">
        <v>83</v>
      </c>
      <c r="C93" s="55">
        <v>119</v>
      </c>
      <c r="D93" s="55">
        <v>104</v>
      </c>
      <c r="E93" s="55">
        <v>727</v>
      </c>
      <c r="F93" s="55">
        <v>615</v>
      </c>
      <c r="G93" s="55">
        <v>14.42</v>
      </c>
      <c r="H93" s="55">
        <v>18.21</v>
      </c>
      <c r="I93" s="55">
        <v>0.42</v>
      </c>
      <c r="J93" s="55">
        <v>0.35</v>
      </c>
      <c r="K93" s="55">
        <v>0.47</v>
      </c>
      <c r="L93" s="55">
        <v>0.3</v>
      </c>
    </row>
    <row r="94" spans="1:12">
      <c r="A94" s="55">
        <v>87</v>
      </c>
      <c r="B94" s="55" t="s">
        <v>650</v>
      </c>
      <c r="C94" s="55">
        <v>128</v>
      </c>
      <c r="D94" s="55">
        <v>138</v>
      </c>
      <c r="E94" s="55">
        <v>727</v>
      </c>
      <c r="F94" s="55">
        <v>566</v>
      </c>
      <c r="G94" s="55">
        <v>-7.25</v>
      </c>
      <c r="H94" s="55">
        <v>28.45</v>
      </c>
      <c r="I94" s="55">
        <v>0.45</v>
      </c>
      <c r="J94" s="55">
        <v>0.35</v>
      </c>
      <c r="K94" s="55">
        <v>0.63</v>
      </c>
      <c r="L94" s="55">
        <v>0.28000000000000003</v>
      </c>
    </row>
    <row r="95" spans="1:12">
      <c r="A95" s="55">
        <v>88</v>
      </c>
      <c r="B95" s="55" t="s">
        <v>75</v>
      </c>
      <c r="C95" s="55">
        <v>31</v>
      </c>
      <c r="D95" s="55">
        <v>32</v>
      </c>
      <c r="E95" s="55">
        <v>693</v>
      </c>
      <c r="F95" s="55">
        <v>783</v>
      </c>
      <c r="G95" s="55">
        <v>-3.13</v>
      </c>
      <c r="H95" s="55">
        <v>-11.49</v>
      </c>
      <c r="I95" s="55">
        <v>0.11</v>
      </c>
      <c r="J95" s="55">
        <v>0.33</v>
      </c>
      <c r="K95" s="55">
        <v>0.15</v>
      </c>
      <c r="L95" s="55">
        <v>0.38</v>
      </c>
    </row>
    <row r="96" spans="1:12">
      <c r="A96" s="55">
        <v>89</v>
      </c>
      <c r="B96" s="55" t="s">
        <v>606</v>
      </c>
      <c r="C96" s="55">
        <v>91</v>
      </c>
      <c r="D96" s="55">
        <v>39</v>
      </c>
      <c r="E96" s="55">
        <v>670</v>
      </c>
      <c r="F96" s="55">
        <v>336</v>
      </c>
      <c r="G96" s="55">
        <v>133.33000000000001</v>
      </c>
      <c r="H96" s="55">
        <v>99.4</v>
      </c>
      <c r="I96" s="55">
        <v>0.32</v>
      </c>
      <c r="J96" s="55">
        <v>0.32</v>
      </c>
      <c r="K96" s="55">
        <v>0.18</v>
      </c>
      <c r="L96" s="55">
        <v>0.16</v>
      </c>
    </row>
    <row r="97" spans="1:12">
      <c r="A97" s="55">
        <v>90</v>
      </c>
      <c r="B97" s="55" t="s">
        <v>1010</v>
      </c>
      <c r="C97" s="55">
        <v>89</v>
      </c>
      <c r="D97" s="55">
        <v>0</v>
      </c>
      <c r="E97" s="55">
        <v>654</v>
      </c>
      <c r="F97" s="55">
        <v>0</v>
      </c>
      <c r="G97" s="55">
        <v>0</v>
      </c>
      <c r="H97" s="55">
        <v>0</v>
      </c>
      <c r="I97" s="55">
        <v>0.32</v>
      </c>
      <c r="J97" s="55">
        <v>0.31</v>
      </c>
      <c r="K97" s="55">
        <v>0</v>
      </c>
      <c r="L97" s="55">
        <v>0</v>
      </c>
    </row>
    <row r="98" spans="1:12">
      <c r="A98" s="55">
        <v>91</v>
      </c>
      <c r="B98" s="55" t="s">
        <v>111</v>
      </c>
      <c r="C98" s="55">
        <v>42</v>
      </c>
      <c r="D98" s="55">
        <v>40</v>
      </c>
      <c r="E98" s="55">
        <v>652</v>
      </c>
      <c r="F98" s="55">
        <v>317</v>
      </c>
      <c r="G98" s="55">
        <v>5</v>
      </c>
      <c r="H98" s="55">
        <v>105.68</v>
      </c>
      <c r="I98" s="55">
        <v>0.15</v>
      </c>
      <c r="J98" s="55">
        <v>0.31</v>
      </c>
      <c r="K98" s="55">
        <v>0.18</v>
      </c>
      <c r="L98" s="55">
        <v>0.15</v>
      </c>
    </row>
    <row r="99" spans="1:12">
      <c r="A99" s="55">
        <v>92</v>
      </c>
      <c r="B99" s="55" t="s">
        <v>140</v>
      </c>
      <c r="C99" s="55">
        <v>70</v>
      </c>
      <c r="D99" s="55">
        <v>32</v>
      </c>
      <c r="E99" s="55">
        <v>629</v>
      </c>
      <c r="F99" s="55">
        <v>449</v>
      </c>
      <c r="G99" s="55">
        <v>118.75</v>
      </c>
      <c r="H99" s="55">
        <v>40.090000000000003</v>
      </c>
      <c r="I99" s="55">
        <v>0.25</v>
      </c>
      <c r="J99" s="55">
        <v>0.3</v>
      </c>
      <c r="K99" s="55">
        <v>0.15</v>
      </c>
      <c r="L99" s="55">
        <v>0.22</v>
      </c>
    </row>
    <row r="100" spans="1:12">
      <c r="A100" s="55">
        <v>93</v>
      </c>
      <c r="B100" s="55" t="s">
        <v>88</v>
      </c>
      <c r="C100" s="55">
        <v>98</v>
      </c>
      <c r="D100" s="55">
        <v>103</v>
      </c>
      <c r="E100" s="55">
        <v>600</v>
      </c>
      <c r="F100" s="55">
        <v>892</v>
      </c>
      <c r="G100" s="55">
        <v>-4.8499999999999996</v>
      </c>
      <c r="H100" s="55">
        <v>-32.74</v>
      </c>
      <c r="I100" s="55">
        <v>0.35</v>
      </c>
      <c r="J100" s="55">
        <v>0.28999999999999998</v>
      </c>
      <c r="K100" s="55">
        <v>0.47</v>
      </c>
      <c r="L100" s="55">
        <v>0.44</v>
      </c>
    </row>
    <row r="101" spans="1:12">
      <c r="A101" s="55">
        <v>94</v>
      </c>
      <c r="B101" s="55" t="s">
        <v>119</v>
      </c>
      <c r="C101" s="55">
        <v>109</v>
      </c>
      <c r="D101" s="55">
        <v>65</v>
      </c>
      <c r="E101" s="55">
        <v>600</v>
      </c>
      <c r="F101" s="55">
        <v>589</v>
      </c>
      <c r="G101" s="55">
        <v>67.69</v>
      </c>
      <c r="H101" s="55">
        <v>1.87</v>
      </c>
      <c r="I101" s="55">
        <v>0.39</v>
      </c>
      <c r="J101" s="55">
        <v>0.28999999999999998</v>
      </c>
      <c r="K101" s="55">
        <v>0.28999999999999998</v>
      </c>
      <c r="L101" s="55">
        <v>0.28999999999999998</v>
      </c>
    </row>
    <row r="102" spans="1:12">
      <c r="A102" s="55">
        <v>95</v>
      </c>
      <c r="B102" s="55" t="s">
        <v>608</v>
      </c>
      <c r="C102" s="55">
        <v>78</v>
      </c>
      <c r="D102" s="55">
        <v>63</v>
      </c>
      <c r="E102" s="55">
        <v>584</v>
      </c>
      <c r="F102" s="55">
        <v>785</v>
      </c>
      <c r="G102" s="55">
        <v>23.81</v>
      </c>
      <c r="H102" s="55">
        <v>-25.61</v>
      </c>
      <c r="I102" s="55">
        <v>0.28000000000000003</v>
      </c>
      <c r="J102" s="55">
        <v>0.28000000000000003</v>
      </c>
      <c r="K102" s="55">
        <v>0.28999999999999998</v>
      </c>
      <c r="L102" s="55">
        <v>0.38</v>
      </c>
    </row>
    <row r="103" spans="1:12">
      <c r="A103" s="55">
        <v>96</v>
      </c>
      <c r="B103" s="55" t="s">
        <v>1057</v>
      </c>
      <c r="C103" s="55">
        <v>120</v>
      </c>
      <c r="D103" s="55">
        <v>0</v>
      </c>
      <c r="E103" s="55">
        <v>561</v>
      </c>
      <c r="F103" s="55">
        <v>0</v>
      </c>
      <c r="G103" s="55">
        <v>0</v>
      </c>
      <c r="H103" s="55">
        <v>0</v>
      </c>
      <c r="I103" s="55">
        <v>0.43</v>
      </c>
      <c r="J103" s="55">
        <v>0.27</v>
      </c>
      <c r="K103" s="55">
        <v>0</v>
      </c>
      <c r="L103" s="55">
        <v>0</v>
      </c>
    </row>
    <row r="104" spans="1:12">
      <c r="A104" s="55">
        <v>97</v>
      </c>
      <c r="B104" s="55" t="s">
        <v>65</v>
      </c>
      <c r="C104" s="55">
        <v>80</v>
      </c>
      <c r="D104" s="55">
        <v>45</v>
      </c>
      <c r="E104" s="55">
        <v>547</v>
      </c>
      <c r="F104" s="55">
        <v>422</v>
      </c>
      <c r="G104" s="55">
        <v>77.78</v>
      </c>
      <c r="H104" s="55">
        <v>29.62</v>
      </c>
      <c r="I104" s="55">
        <v>0.28000000000000003</v>
      </c>
      <c r="J104" s="55">
        <v>0.26</v>
      </c>
      <c r="K104" s="55">
        <v>0.2</v>
      </c>
      <c r="L104" s="55">
        <v>0.21</v>
      </c>
    </row>
    <row r="105" spans="1:12">
      <c r="A105" s="55">
        <v>98</v>
      </c>
      <c r="B105" s="55" t="s">
        <v>598</v>
      </c>
      <c r="C105" s="55">
        <v>115</v>
      </c>
      <c r="D105" s="55">
        <v>20</v>
      </c>
      <c r="E105" s="55">
        <v>541</v>
      </c>
      <c r="F105" s="55">
        <v>334</v>
      </c>
      <c r="G105" s="55">
        <v>475</v>
      </c>
      <c r="H105" s="55">
        <v>61.98</v>
      </c>
      <c r="I105" s="55">
        <v>0.41</v>
      </c>
      <c r="J105" s="55">
        <v>0.26</v>
      </c>
      <c r="K105" s="55">
        <v>0.09</v>
      </c>
      <c r="L105" s="55">
        <v>0.16</v>
      </c>
    </row>
    <row r="106" spans="1:12">
      <c r="A106" s="55">
        <v>99</v>
      </c>
      <c r="B106" s="55" t="s">
        <v>141</v>
      </c>
      <c r="C106" s="55">
        <v>96</v>
      </c>
      <c r="D106" s="55">
        <v>101</v>
      </c>
      <c r="E106" s="55">
        <v>536</v>
      </c>
      <c r="F106" s="55">
        <v>1178</v>
      </c>
      <c r="G106" s="55">
        <v>-4.95</v>
      </c>
      <c r="H106" s="55">
        <v>-54.5</v>
      </c>
      <c r="I106" s="55">
        <v>0.34</v>
      </c>
      <c r="J106" s="55">
        <v>0.26</v>
      </c>
      <c r="K106" s="55">
        <v>0.46</v>
      </c>
      <c r="L106" s="55">
        <v>0.57999999999999996</v>
      </c>
    </row>
    <row r="107" spans="1:12">
      <c r="A107" s="55">
        <v>100</v>
      </c>
      <c r="B107" s="55" t="s">
        <v>172</v>
      </c>
      <c r="C107" s="55">
        <v>61</v>
      </c>
      <c r="D107" s="55">
        <v>65</v>
      </c>
      <c r="E107" s="55">
        <v>535</v>
      </c>
      <c r="F107" s="55">
        <v>616</v>
      </c>
      <c r="G107" s="55">
        <v>-6.15</v>
      </c>
      <c r="H107" s="55">
        <v>-13.15</v>
      </c>
      <c r="I107" s="55">
        <v>0.22</v>
      </c>
      <c r="J107" s="55">
        <v>0.25</v>
      </c>
      <c r="K107" s="55">
        <v>0.28999999999999998</v>
      </c>
      <c r="L107" s="55">
        <v>0.3</v>
      </c>
    </row>
    <row r="108" spans="1:12">
      <c r="A108" s="55">
        <v>101</v>
      </c>
      <c r="B108" s="55" t="s">
        <v>363</v>
      </c>
      <c r="C108" s="55">
        <v>47</v>
      </c>
      <c r="D108" s="55">
        <v>7</v>
      </c>
      <c r="E108" s="55">
        <v>535</v>
      </c>
      <c r="F108" s="55">
        <v>590</v>
      </c>
      <c r="G108" s="55">
        <v>571.42999999999995</v>
      </c>
      <c r="H108" s="55">
        <v>-9.32</v>
      </c>
      <c r="I108" s="55">
        <v>0.17</v>
      </c>
      <c r="J108" s="55">
        <v>0.25</v>
      </c>
      <c r="K108" s="55">
        <v>0.03</v>
      </c>
      <c r="L108" s="55">
        <v>0.28999999999999998</v>
      </c>
    </row>
    <row r="109" spans="1:12">
      <c r="A109" s="55">
        <v>102</v>
      </c>
      <c r="B109" s="55" t="s">
        <v>126</v>
      </c>
      <c r="C109" s="55">
        <v>56</v>
      </c>
      <c r="D109" s="55">
        <v>14</v>
      </c>
      <c r="E109" s="55">
        <v>527</v>
      </c>
      <c r="F109" s="55">
        <v>833</v>
      </c>
      <c r="G109" s="55">
        <v>300</v>
      </c>
      <c r="H109" s="55">
        <v>-36.729999999999997</v>
      </c>
      <c r="I109" s="55">
        <v>0.2</v>
      </c>
      <c r="J109" s="55">
        <v>0.25</v>
      </c>
      <c r="K109" s="55">
        <v>0.06</v>
      </c>
      <c r="L109" s="55">
        <v>0.41</v>
      </c>
    </row>
    <row r="110" spans="1:12">
      <c r="A110" s="55">
        <v>103</v>
      </c>
      <c r="B110" s="55" t="s">
        <v>159</v>
      </c>
      <c r="C110" s="55">
        <v>35</v>
      </c>
      <c r="D110" s="55">
        <v>28</v>
      </c>
      <c r="E110" s="55">
        <v>514</v>
      </c>
      <c r="F110" s="55">
        <v>354</v>
      </c>
      <c r="G110" s="55">
        <v>25</v>
      </c>
      <c r="H110" s="55">
        <v>45.2</v>
      </c>
      <c r="I110" s="55">
        <v>0.12</v>
      </c>
      <c r="J110" s="55">
        <v>0.24</v>
      </c>
      <c r="K110" s="55">
        <v>0.13</v>
      </c>
      <c r="L110" s="55">
        <v>0.17</v>
      </c>
    </row>
    <row r="111" spans="1:12">
      <c r="A111" s="55">
        <v>104</v>
      </c>
      <c r="B111" s="55" t="s">
        <v>73</v>
      </c>
      <c r="C111" s="55">
        <v>33</v>
      </c>
      <c r="D111" s="55">
        <v>10</v>
      </c>
      <c r="E111" s="55">
        <v>504</v>
      </c>
      <c r="F111" s="55">
        <v>304</v>
      </c>
      <c r="G111" s="55">
        <v>230</v>
      </c>
      <c r="H111" s="55">
        <v>65.790000000000006</v>
      </c>
      <c r="I111" s="55">
        <v>0.12</v>
      </c>
      <c r="J111" s="55">
        <v>0.24</v>
      </c>
      <c r="K111" s="55">
        <v>0.05</v>
      </c>
      <c r="L111" s="55">
        <v>0.15</v>
      </c>
    </row>
    <row r="112" spans="1:12">
      <c r="A112" s="55">
        <v>105</v>
      </c>
      <c r="B112" s="55" t="s">
        <v>701</v>
      </c>
      <c r="C112" s="55">
        <v>19</v>
      </c>
      <c r="D112" s="55">
        <v>160</v>
      </c>
      <c r="E112" s="55">
        <v>486</v>
      </c>
      <c r="F112" s="55">
        <v>591</v>
      </c>
      <c r="G112" s="55">
        <v>-88.13</v>
      </c>
      <c r="H112" s="55">
        <v>-17.77</v>
      </c>
      <c r="I112" s="55">
        <v>7.0000000000000007E-2</v>
      </c>
      <c r="J112" s="55">
        <v>0.23</v>
      </c>
      <c r="K112" s="55">
        <v>0.73</v>
      </c>
      <c r="L112" s="55">
        <v>0.28999999999999998</v>
      </c>
    </row>
    <row r="113" spans="1:12">
      <c r="A113" s="55">
        <v>106</v>
      </c>
      <c r="B113" s="55" t="s">
        <v>1031</v>
      </c>
      <c r="C113" s="55">
        <v>41</v>
      </c>
      <c r="D113" s="55">
        <v>0</v>
      </c>
      <c r="E113" s="55">
        <v>481</v>
      </c>
      <c r="F113" s="55">
        <v>0</v>
      </c>
      <c r="G113" s="55">
        <v>0</v>
      </c>
      <c r="H113" s="55">
        <v>0</v>
      </c>
      <c r="I113" s="55">
        <v>0.15</v>
      </c>
      <c r="J113" s="55">
        <v>0.23</v>
      </c>
      <c r="K113" s="55">
        <v>0</v>
      </c>
      <c r="L113" s="55">
        <v>0</v>
      </c>
    </row>
    <row r="114" spans="1:12">
      <c r="A114" s="55">
        <v>107</v>
      </c>
      <c r="B114" s="55" t="s">
        <v>131</v>
      </c>
      <c r="C114" s="55">
        <v>10</v>
      </c>
      <c r="D114" s="55">
        <v>32</v>
      </c>
      <c r="E114" s="55">
        <v>478</v>
      </c>
      <c r="F114" s="55">
        <v>629</v>
      </c>
      <c r="G114" s="55">
        <v>-68.75</v>
      </c>
      <c r="H114" s="55">
        <v>-24.01</v>
      </c>
      <c r="I114" s="55">
        <v>0.04</v>
      </c>
      <c r="J114" s="55">
        <v>0.23</v>
      </c>
      <c r="K114" s="55">
        <v>0.15</v>
      </c>
      <c r="L114" s="55">
        <v>0.31</v>
      </c>
    </row>
    <row r="115" spans="1:12">
      <c r="A115" s="55">
        <v>108</v>
      </c>
      <c r="B115" s="55" t="s">
        <v>62</v>
      </c>
      <c r="C115" s="55">
        <v>41</v>
      </c>
      <c r="D115" s="55">
        <v>120</v>
      </c>
      <c r="E115" s="55">
        <v>472</v>
      </c>
      <c r="F115" s="55">
        <v>1065</v>
      </c>
      <c r="G115" s="55">
        <v>-65.83</v>
      </c>
      <c r="H115" s="55">
        <v>-55.68</v>
      </c>
      <c r="I115" s="55">
        <v>0.15</v>
      </c>
      <c r="J115" s="55">
        <v>0.22</v>
      </c>
      <c r="K115" s="55">
        <v>0.54</v>
      </c>
      <c r="L115" s="55">
        <v>0.52</v>
      </c>
    </row>
    <row r="116" spans="1:12">
      <c r="A116" s="55">
        <v>109</v>
      </c>
      <c r="B116" s="55" t="s">
        <v>148</v>
      </c>
      <c r="C116" s="55">
        <v>49</v>
      </c>
      <c r="D116" s="55">
        <v>28</v>
      </c>
      <c r="E116" s="55">
        <v>451</v>
      </c>
      <c r="F116" s="55">
        <v>321</v>
      </c>
      <c r="G116" s="55">
        <v>75</v>
      </c>
      <c r="H116" s="55">
        <v>40.5</v>
      </c>
      <c r="I116" s="55">
        <v>0.17</v>
      </c>
      <c r="J116" s="55">
        <v>0.21</v>
      </c>
      <c r="K116" s="55">
        <v>0.13</v>
      </c>
      <c r="L116" s="55">
        <v>0.16</v>
      </c>
    </row>
    <row r="117" spans="1:12">
      <c r="A117" s="55">
        <v>110</v>
      </c>
      <c r="B117" s="55" t="s">
        <v>109</v>
      </c>
      <c r="C117" s="55">
        <v>52</v>
      </c>
      <c r="D117" s="55">
        <v>50</v>
      </c>
      <c r="E117" s="55">
        <v>422</v>
      </c>
      <c r="F117" s="55">
        <v>296</v>
      </c>
      <c r="G117" s="55">
        <v>4</v>
      </c>
      <c r="H117" s="55">
        <v>42.57</v>
      </c>
      <c r="I117" s="55">
        <v>0.18</v>
      </c>
      <c r="J117" s="55">
        <v>0.2</v>
      </c>
      <c r="K117" s="55">
        <v>0.23</v>
      </c>
      <c r="L117" s="55">
        <v>0.14000000000000001</v>
      </c>
    </row>
    <row r="118" spans="1:12">
      <c r="A118" s="55">
        <v>111</v>
      </c>
      <c r="B118" s="55" t="s">
        <v>162</v>
      </c>
      <c r="C118" s="55">
        <v>46</v>
      </c>
      <c r="D118" s="55">
        <v>64</v>
      </c>
      <c r="E118" s="55">
        <v>414</v>
      </c>
      <c r="F118" s="55">
        <v>447</v>
      </c>
      <c r="G118" s="55">
        <v>-28.13</v>
      </c>
      <c r="H118" s="55">
        <v>-7.38</v>
      </c>
      <c r="I118" s="55">
        <v>0.16</v>
      </c>
      <c r="J118" s="55">
        <v>0.2</v>
      </c>
      <c r="K118" s="55">
        <v>0.28999999999999998</v>
      </c>
      <c r="L118" s="55">
        <v>0.22</v>
      </c>
    </row>
    <row r="119" spans="1:12">
      <c r="A119" s="55">
        <v>112</v>
      </c>
      <c r="B119" s="55" t="s">
        <v>124</v>
      </c>
      <c r="C119" s="55">
        <v>42</v>
      </c>
      <c r="D119" s="55">
        <v>74</v>
      </c>
      <c r="E119" s="55">
        <v>412</v>
      </c>
      <c r="F119" s="55">
        <v>464</v>
      </c>
      <c r="G119" s="55">
        <v>-43.24</v>
      </c>
      <c r="H119" s="55">
        <v>-11.21</v>
      </c>
      <c r="I119" s="55">
        <v>0.15</v>
      </c>
      <c r="J119" s="55">
        <v>0.2</v>
      </c>
      <c r="K119" s="55">
        <v>0.34</v>
      </c>
      <c r="L119" s="55">
        <v>0.23</v>
      </c>
    </row>
    <row r="120" spans="1:12">
      <c r="A120" s="55">
        <v>113</v>
      </c>
      <c r="B120" s="55" t="s">
        <v>385</v>
      </c>
      <c r="C120" s="55">
        <v>56</v>
      </c>
      <c r="D120" s="55">
        <v>38</v>
      </c>
      <c r="E120" s="55">
        <v>412</v>
      </c>
      <c r="F120" s="55">
        <v>285</v>
      </c>
      <c r="G120" s="55">
        <v>47.37</v>
      </c>
      <c r="H120" s="55">
        <v>44.56</v>
      </c>
      <c r="I120" s="55">
        <v>0.2</v>
      </c>
      <c r="J120" s="55">
        <v>0.2</v>
      </c>
      <c r="K120" s="55">
        <v>0.17</v>
      </c>
      <c r="L120" s="55">
        <v>0.14000000000000001</v>
      </c>
    </row>
    <row r="121" spans="1:12">
      <c r="A121" s="55">
        <v>114</v>
      </c>
      <c r="B121" s="55" t="s">
        <v>591</v>
      </c>
      <c r="C121" s="55">
        <v>38</v>
      </c>
      <c r="D121" s="55">
        <v>137</v>
      </c>
      <c r="E121" s="55">
        <v>411</v>
      </c>
      <c r="F121" s="55">
        <v>1248</v>
      </c>
      <c r="G121" s="55">
        <v>-72.260000000000005</v>
      </c>
      <c r="H121" s="55">
        <v>-67.069999999999993</v>
      </c>
      <c r="I121" s="55">
        <v>0.14000000000000001</v>
      </c>
      <c r="J121" s="55">
        <v>0.2</v>
      </c>
      <c r="K121" s="55">
        <v>0.62</v>
      </c>
      <c r="L121" s="55">
        <v>0.61</v>
      </c>
    </row>
    <row r="122" spans="1:12">
      <c r="A122" s="55">
        <v>115</v>
      </c>
      <c r="B122" s="55" t="s">
        <v>108</v>
      </c>
      <c r="C122" s="55">
        <v>25</v>
      </c>
      <c r="D122" s="55">
        <v>51</v>
      </c>
      <c r="E122" s="55">
        <v>402</v>
      </c>
      <c r="F122" s="55">
        <v>467</v>
      </c>
      <c r="G122" s="55">
        <v>-50.98</v>
      </c>
      <c r="H122" s="55">
        <v>-13.92</v>
      </c>
      <c r="I122" s="55">
        <v>0.09</v>
      </c>
      <c r="J122" s="55">
        <v>0.19</v>
      </c>
      <c r="K122" s="55">
        <v>0.23</v>
      </c>
      <c r="L122" s="55">
        <v>0.23</v>
      </c>
    </row>
    <row r="123" spans="1:12">
      <c r="A123" s="55">
        <v>116</v>
      </c>
      <c r="B123" s="55" t="s">
        <v>1174</v>
      </c>
      <c r="C123" s="55">
        <v>54</v>
      </c>
      <c r="D123" s="55">
        <v>10</v>
      </c>
      <c r="E123" s="55">
        <v>401</v>
      </c>
      <c r="F123" s="55">
        <v>88</v>
      </c>
      <c r="G123" s="55">
        <v>440</v>
      </c>
      <c r="H123" s="55">
        <v>355.68</v>
      </c>
      <c r="I123" s="55">
        <v>0.19</v>
      </c>
      <c r="J123" s="55">
        <v>0.19</v>
      </c>
      <c r="K123" s="55">
        <v>0.05</v>
      </c>
      <c r="L123" s="55">
        <v>0.04</v>
      </c>
    </row>
    <row r="124" spans="1:12">
      <c r="A124" s="55">
        <v>117</v>
      </c>
      <c r="B124" s="55" t="s">
        <v>69</v>
      </c>
      <c r="C124" s="55">
        <v>25</v>
      </c>
      <c r="D124" s="55">
        <v>46</v>
      </c>
      <c r="E124" s="55">
        <v>388</v>
      </c>
      <c r="F124" s="55">
        <v>662</v>
      </c>
      <c r="G124" s="55">
        <v>-45.65</v>
      </c>
      <c r="H124" s="55">
        <v>-41.39</v>
      </c>
      <c r="I124" s="55">
        <v>0.09</v>
      </c>
      <c r="J124" s="55">
        <v>0.18</v>
      </c>
      <c r="K124" s="55">
        <v>0.21</v>
      </c>
      <c r="L124" s="55">
        <v>0.32</v>
      </c>
    </row>
    <row r="125" spans="1:12">
      <c r="A125" s="55">
        <v>118</v>
      </c>
      <c r="B125" s="55" t="s">
        <v>370</v>
      </c>
      <c r="C125" s="55">
        <v>35</v>
      </c>
      <c r="D125" s="55">
        <v>36</v>
      </c>
      <c r="E125" s="55">
        <v>388</v>
      </c>
      <c r="F125" s="55">
        <v>383</v>
      </c>
      <c r="G125" s="55">
        <v>-2.78</v>
      </c>
      <c r="H125" s="55">
        <v>1.31</v>
      </c>
      <c r="I125" s="55">
        <v>0.12</v>
      </c>
      <c r="J125" s="55">
        <v>0.18</v>
      </c>
      <c r="K125" s="55">
        <v>0.16</v>
      </c>
      <c r="L125" s="55">
        <v>0.19</v>
      </c>
    </row>
    <row r="126" spans="1:12">
      <c r="A126" s="55">
        <v>119</v>
      </c>
      <c r="B126" s="55" t="s">
        <v>135</v>
      </c>
      <c r="C126" s="55">
        <v>36</v>
      </c>
      <c r="D126" s="55">
        <v>31</v>
      </c>
      <c r="E126" s="55">
        <v>375</v>
      </c>
      <c r="F126" s="55">
        <v>286</v>
      </c>
      <c r="G126" s="55">
        <v>16.13</v>
      </c>
      <c r="H126" s="55">
        <v>31.12</v>
      </c>
      <c r="I126" s="55">
        <v>0.13</v>
      </c>
      <c r="J126" s="55">
        <v>0.18</v>
      </c>
      <c r="K126" s="55">
        <v>0.14000000000000001</v>
      </c>
      <c r="L126" s="55">
        <v>0.14000000000000001</v>
      </c>
    </row>
    <row r="127" spans="1:12">
      <c r="A127" s="55">
        <v>120</v>
      </c>
      <c r="B127" s="55" t="s">
        <v>154</v>
      </c>
      <c r="C127" s="55">
        <v>79</v>
      </c>
      <c r="D127" s="55">
        <v>5</v>
      </c>
      <c r="E127" s="55">
        <v>372</v>
      </c>
      <c r="F127" s="55">
        <v>85</v>
      </c>
      <c r="G127" s="55">
        <v>1480</v>
      </c>
      <c r="H127" s="55">
        <v>337.65</v>
      </c>
      <c r="I127" s="55">
        <v>0.28000000000000003</v>
      </c>
      <c r="J127" s="55">
        <v>0.18</v>
      </c>
      <c r="K127" s="55">
        <v>0.02</v>
      </c>
      <c r="L127" s="55">
        <v>0.04</v>
      </c>
    </row>
    <row r="128" spans="1:12">
      <c r="A128" s="55">
        <v>121</v>
      </c>
      <c r="B128" s="55" t="s">
        <v>112</v>
      </c>
      <c r="C128" s="55">
        <v>39</v>
      </c>
      <c r="D128" s="55">
        <v>43</v>
      </c>
      <c r="E128" s="55">
        <v>366</v>
      </c>
      <c r="F128" s="55">
        <v>422</v>
      </c>
      <c r="G128" s="55">
        <v>-9.3000000000000007</v>
      </c>
      <c r="H128" s="55">
        <v>-13.27</v>
      </c>
      <c r="I128" s="55">
        <v>0.14000000000000001</v>
      </c>
      <c r="J128" s="55">
        <v>0.17</v>
      </c>
      <c r="K128" s="55">
        <v>0.2</v>
      </c>
      <c r="L128" s="55">
        <v>0.21</v>
      </c>
    </row>
    <row r="129" spans="1:12">
      <c r="A129" s="55">
        <v>122</v>
      </c>
      <c r="B129" s="55" t="s">
        <v>155</v>
      </c>
      <c r="C129" s="55">
        <v>34</v>
      </c>
      <c r="D129" s="55">
        <v>12</v>
      </c>
      <c r="E129" s="55">
        <v>360</v>
      </c>
      <c r="F129" s="55">
        <v>159</v>
      </c>
      <c r="G129" s="55">
        <v>183.33</v>
      </c>
      <c r="H129" s="55">
        <v>126.42</v>
      </c>
      <c r="I129" s="55">
        <v>0.12</v>
      </c>
      <c r="J129" s="55">
        <v>0.17</v>
      </c>
      <c r="K129" s="55">
        <v>0.05</v>
      </c>
      <c r="L129" s="55">
        <v>0.08</v>
      </c>
    </row>
    <row r="130" spans="1:12">
      <c r="A130" s="55">
        <v>123</v>
      </c>
      <c r="B130" s="55" t="s">
        <v>143</v>
      </c>
      <c r="C130" s="55">
        <v>42</v>
      </c>
      <c r="D130" s="55">
        <v>38</v>
      </c>
      <c r="E130" s="55">
        <v>347</v>
      </c>
      <c r="F130" s="55">
        <v>346</v>
      </c>
      <c r="G130" s="55">
        <v>10.53</v>
      </c>
      <c r="H130" s="55">
        <v>0.28999999999999998</v>
      </c>
      <c r="I130" s="55">
        <v>0.15</v>
      </c>
      <c r="J130" s="55">
        <v>0.17</v>
      </c>
      <c r="K130" s="55">
        <v>0.17</v>
      </c>
      <c r="L130" s="55">
        <v>0.17</v>
      </c>
    </row>
    <row r="131" spans="1:12">
      <c r="A131" s="55">
        <v>124</v>
      </c>
      <c r="B131" s="55" t="s">
        <v>158</v>
      </c>
      <c r="C131" s="55">
        <v>31</v>
      </c>
      <c r="D131" s="55">
        <v>47</v>
      </c>
      <c r="E131" s="55">
        <v>340</v>
      </c>
      <c r="F131" s="55">
        <v>451</v>
      </c>
      <c r="G131" s="55">
        <v>-34.04</v>
      </c>
      <c r="H131" s="55">
        <v>-24.61</v>
      </c>
      <c r="I131" s="55">
        <v>0.11</v>
      </c>
      <c r="J131" s="55">
        <v>0.16</v>
      </c>
      <c r="K131" s="55">
        <v>0.21</v>
      </c>
      <c r="L131" s="55">
        <v>0.22</v>
      </c>
    </row>
    <row r="132" spans="1:12">
      <c r="A132" s="55">
        <v>125</v>
      </c>
      <c r="B132" s="55" t="s">
        <v>139</v>
      </c>
      <c r="C132" s="55">
        <v>98</v>
      </c>
      <c r="D132" s="55">
        <v>42</v>
      </c>
      <c r="E132" s="55">
        <v>339</v>
      </c>
      <c r="F132" s="55">
        <v>283</v>
      </c>
      <c r="G132" s="55">
        <v>133.33000000000001</v>
      </c>
      <c r="H132" s="55">
        <v>19.79</v>
      </c>
      <c r="I132" s="55">
        <v>0.35</v>
      </c>
      <c r="J132" s="55">
        <v>0.16</v>
      </c>
      <c r="K132" s="55">
        <v>0.19</v>
      </c>
      <c r="L132" s="55">
        <v>0.14000000000000001</v>
      </c>
    </row>
    <row r="133" spans="1:12">
      <c r="A133" s="55">
        <v>126</v>
      </c>
      <c r="B133" s="55" t="s">
        <v>481</v>
      </c>
      <c r="C133" s="55">
        <v>3</v>
      </c>
      <c r="D133" s="55">
        <v>180</v>
      </c>
      <c r="E133" s="55">
        <v>335</v>
      </c>
      <c r="F133" s="55">
        <v>391</v>
      </c>
      <c r="G133" s="55">
        <v>-98.33</v>
      </c>
      <c r="H133" s="55">
        <v>-14.32</v>
      </c>
      <c r="I133" s="55">
        <v>0.01</v>
      </c>
      <c r="J133" s="55">
        <v>0.16</v>
      </c>
      <c r="K133" s="55">
        <v>0.82</v>
      </c>
      <c r="L133" s="55">
        <v>0.19</v>
      </c>
    </row>
    <row r="134" spans="1:12">
      <c r="A134" s="55">
        <v>127</v>
      </c>
      <c r="B134" s="55" t="s">
        <v>362</v>
      </c>
      <c r="C134" s="55">
        <v>40</v>
      </c>
      <c r="D134" s="55">
        <v>37</v>
      </c>
      <c r="E134" s="55">
        <v>326</v>
      </c>
      <c r="F134" s="55">
        <v>417</v>
      </c>
      <c r="G134" s="55">
        <v>8.11</v>
      </c>
      <c r="H134" s="55">
        <v>-21.82</v>
      </c>
      <c r="I134" s="55">
        <v>0.14000000000000001</v>
      </c>
      <c r="J134" s="55">
        <v>0.16</v>
      </c>
      <c r="K134" s="55">
        <v>0.17</v>
      </c>
      <c r="L134" s="55">
        <v>0.2</v>
      </c>
    </row>
    <row r="135" spans="1:12">
      <c r="A135" s="55">
        <v>128</v>
      </c>
      <c r="B135" s="55" t="s">
        <v>122</v>
      </c>
      <c r="C135" s="55">
        <v>13</v>
      </c>
      <c r="D135" s="55">
        <v>46</v>
      </c>
      <c r="E135" s="55">
        <v>325</v>
      </c>
      <c r="F135" s="55">
        <v>555</v>
      </c>
      <c r="G135" s="55">
        <v>-71.739999999999995</v>
      </c>
      <c r="H135" s="55">
        <v>-41.44</v>
      </c>
      <c r="I135" s="55">
        <v>0.05</v>
      </c>
      <c r="J135" s="55">
        <v>0.15</v>
      </c>
      <c r="K135" s="55">
        <v>0.21</v>
      </c>
      <c r="L135" s="55">
        <v>0.27</v>
      </c>
    </row>
    <row r="136" spans="1:12">
      <c r="A136" s="55">
        <v>129</v>
      </c>
      <c r="B136" s="55" t="s">
        <v>664</v>
      </c>
      <c r="C136" s="55">
        <v>9</v>
      </c>
      <c r="D136" s="55">
        <v>28</v>
      </c>
      <c r="E136" s="55">
        <v>325</v>
      </c>
      <c r="F136" s="55">
        <v>289</v>
      </c>
      <c r="G136" s="55">
        <v>-67.86</v>
      </c>
      <c r="H136" s="55">
        <v>12.46</v>
      </c>
      <c r="I136" s="55">
        <v>0.03</v>
      </c>
      <c r="J136" s="55">
        <v>0.15</v>
      </c>
      <c r="K136" s="55">
        <v>0.13</v>
      </c>
      <c r="L136" s="55">
        <v>0.14000000000000001</v>
      </c>
    </row>
    <row r="137" spans="1:12">
      <c r="A137" s="55">
        <v>130</v>
      </c>
      <c r="B137" s="55" t="s">
        <v>603</v>
      </c>
      <c r="C137" s="55">
        <v>49</v>
      </c>
      <c r="D137" s="55">
        <v>35</v>
      </c>
      <c r="E137" s="55">
        <v>322</v>
      </c>
      <c r="F137" s="55">
        <v>249</v>
      </c>
      <c r="G137" s="55">
        <v>40</v>
      </c>
      <c r="H137" s="55">
        <v>29.32</v>
      </c>
      <c r="I137" s="55">
        <v>0.17</v>
      </c>
      <c r="J137" s="55">
        <v>0.15</v>
      </c>
      <c r="K137" s="55">
        <v>0.16</v>
      </c>
      <c r="L137" s="55">
        <v>0.12</v>
      </c>
    </row>
    <row r="138" spans="1:12">
      <c r="A138" s="55">
        <v>131</v>
      </c>
      <c r="B138" s="55" t="s">
        <v>149</v>
      </c>
      <c r="C138" s="55">
        <v>26</v>
      </c>
      <c r="D138" s="55">
        <v>37</v>
      </c>
      <c r="E138" s="55">
        <v>318</v>
      </c>
      <c r="F138" s="55">
        <v>391</v>
      </c>
      <c r="G138" s="55">
        <v>-29.73</v>
      </c>
      <c r="H138" s="55">
        <v>-18.670000000000002</v>
      </c>
      <c r="I138" s="55">
        <v>0.09</v>
      </c>
      <c r="J138" s="55">
        <v>0.15</v>
      </c>
      <c r="K138" s="55">
        <v>0.17</v>
      </c>
      <c r="L138" s="55">
        <v>0.19</v>
      </c>
    </row>
    <row r="139" spans="1:12">
      <c r="A139" s="55">
        <v>132</v>
      </c>
      <c r="B139" s="55" t="s">
        <v>125</v>
      </c>
      <c r="C139" s="55">
        <v>46</v>
      </c>
      <c r="D139" s="55">
        <v>19</v>
      </c>
      <c r="E139" s="55">
        <v>315</v>
      </c>
      <c r="F139" s="55">
        <v>214</v>
      </c>
      <c r="G139" s="55">
        <v>142.11000000000001</v>
      </c>
      <c r="H139" s="55">
        <v>47.2</v>
      </c>
      <c r="I139" s="55">
        <v>0.16</v>
      </c>
      <c r="J139" s="55">
        <v>0.15</v>
      </c>
      <c r="K139" s="55">
        <v>0.09</v>
      </c>
      <c r="L139" s="55">
        <v>0.1</v>
      </c>
    </row>
    <row r="140" spans="1:12">
      <c r="A140" s="55">
        <v>133</v>
      </c>
      <c r="B140" s="55" t="s">
        <v>92</v>
      </c>
      <c r="C140" s="55">
        <v>17</v>
      </c>
      <c r="D140" s="55">
        <v>41</v>
      </c>
      <c r="E140" s="55">
        <v>304</v>
      </c>
      <c r="F140" s="55">
        <v>311</v>
      </c>
      <c r="G140" s="55">
        <v>-58.54</v>
      </c>
      <c r="H140" s="55">
        <v>-2.25</v>
      </c>
      <c r="I140" s="55">
        <v>0.06</v>
      </c>
      <c r="J140" s="55">
        <v>0.14000000000000001</v>
      </c>
      <c r="K140" s="55">
        <v>0.19</v>
      </c>
      <c r="L140" s="55">
        <v>0.15</v>
      </c>
    </row>
    <row r="141" spans="1:12">
      <c r="A141" s="55">
        <v>134</v>
      </c>
      <c r="B141" s="55" t="s">
        <v>137</v>
      </c>
      <c r="C141" s="55">
        <v>22</v>
      </c>
      <c r="D141" s="55">
        <v>0</v>
      </c>
      <c r="E141" s="55">
        <v>304</v>
      </c>
      <c r="F141" s="55">
        <v>0</v>
      </c>
      <c r="G141" s="55">
        <v>0</v>
      </c>
      <c r="H141" s="55">
        <v>0</v>
      </c>
      <c r="I141" s="55">
        <v>0.08</v>
      </c>
      <c r="J141" s="55">
        <v>0.14000000000000001</v>
      </c>
      <c r="K141" s="55">
        <v>0</v>
      </c>
      <c r="L141" s="55">
        <v>0</v>
      </c>
    </row>
    <row r="142" spans="1:12">
      <c r="A142" s="55">
        <v>135</v>
      </c>
      <c r="B142" s="55" t="s">
        <v>95</v>
      </c>
      <c r="C142" s="55">
        <v>47</v>
      </c>
      <c r="D142" s="55">
        <v>30</v>
      </c>
      <c r="E142" s="55">
        <v>301</v>
      </c>
      <c r="F142" s="55">
        <v>217</v>
      </c>
      <c r="G142" s="55">
        <v>56.67</v>
      </c>
      <c r="H142" s="55">
        <v>38.71</v>
      </c>
      <c r="I142" s="55">
        <v>0.17</v>
      </c>
      <c r="J142" s="55">
        <v>0.14000000000000001</v>
      </c>
      <c r="K142" s="55">
        <v>0.14000000000000001</v>
      </c>
      <c r="L142" s="55">
        <v>0.11</v>
      </c>
    </row>
    <row r="143" spans="1:12">
      <c r="A143" s="55">
        <v>136</v>
      </c>
      <c r="B143" s="55" t="s">
        <v>167</v>
      </c>
      <c r="C143" s="55">
        <v>60</v>
      </c>
      <c r="D143" s="55">
        <v>0</v>
      </c>
      <c r="E143" s="55">
        <v>291</v>
      </c>
      <c r="F143" s="55">
        <v>29</v>
      </c>
      <c r="G143" s="55">
        <v>0</v>
      </c>
      <c r="H143" s="55">
        <v>903.45</v>
      </c>
      <c r="I143" s="55">
        <v>0.21</v>
      </c>
      <c r="J143" s="55">
        <v>0.14000000000000001</v>
      </c>
      <c r="K143" s="55">
        <v>0</v>
      </c>
      <c r="L143" s="55">
        <v>0.01</v>
      </c>
    </row>
    <row r="144" spans="1:12">
      <c r="A144" s="55">
        <v>137</v>
      </c>
      <c r="B144" s="55" t="s">
        <v>168</v>
      </c>
      <c r="C144" s="55">
        <v>28</v>
      </c>
      <c r="D144" s="55">
        <v>17</v>
      </c>
      <c r="E144" s="55">
        <v>290</v>
      </c>
      <c r="F144" s="55">
        <v>128</v>
      </c>
      <c r="G144" s="55">
        <v>64.709999999999994</v>
      </c>
      <c r="H144" s="55">
        <v>126.56</v>
      </c>
      <c r="I144" s="55">
        <v>0.1</v>
      </c>
      <c r="J144" s="55">
        <v>0.14000000000000001</v>
      </c>
      <c r="K144" s="55">
        <v>0.08</v>
      </c>
      <c r="L144" s="55">
        <v>0.06</v>
      </c>
    </row>
    <row r="145" spans="1:12">
      <c r="A145" s="55">
        <v>138</v>
      </c>
      <c r="B145" s="55" t="s">
        <v>66</v>
      </c>
      <c r="C145" s="55">
        <v>39</v>
      </c>
      <c r="D145" s="55">
        <v>43</v>
      </c>
      <c r="E145" s="55">
        <v>279</v>
      </c>
      <c r="F145" s="55">
        <v>628</v>
      </c>
      <c r="G145" s="55">
        <v>-9.3000000000000007</v>
      </c>
      <c r="H145" s="55">
        <v>-55.57</v>
      </c>
      <c r="I145" s="55">
        <v>0.14000000000000001</v>
      </c>
      <c r="J145" s="55">
        <v>0.13</v>
      </c>
      <c r="K145" s="55">
        <v>0.2</v>
      </c>
      <c r="L145" s="55">
        <v>0.31</v>
      </c>
    </row>
    <row r="146" spans="1:12">
      <c r="A146" s="55">
        <v>139</v>
      </c>
      <c r="B146" s="55" t="s">
        <v>599</v>
      </c>
      <c r="C146" s="55">
        <v>12</v>
      </c>
      <c r="D146" s="55">
        <v>34</v>
      </c>
      <c r="E146" s="55">
        <v>272</v>
      </c>
      <c r="F146" s="55">
        <v>743</v>
      </c>
      <c r="G146" s="55">
        <v>-64.709999999999994</v>
      </c>
      <c r="H146" s="55">
        <v>-63.39</v>
      </c>
      <c r="I146" s="55">
        <v>0.04</v>
      </c>
      <c r="J146" s="55">
        <v>0.13</v>
      </c>
      <c r="K146" s="55">
        <v>0.15</v>
      </c>
      <c r="L146" s="55">
        <v>0.36</v>
      </c>
    </row>
    <row r="147" spans="1:12">
      <c r="A147" s="55">
        <v>140</v>
      </c>
      <c r="B147" s="55" t="s">
        <v>1003</v>
      </c>
      <c r="C147" s="55">
        <v>40</v>
      </c>
      <c r="D147" s="55">
        <v>55</v>
      </c>
      <c r="E147" s="55">
        <v>265</v>
      </c>
      <c r="F147" s="55">
        <v>55</v>
      </c>
      <c r="G147" s="55">
        <v>-27.27</v>
      </c>
      <c r="H147" s="55">
        <v>381.82</v>
      </c>
      <c r="I147" s="55">
        <v>0.14000000000000001</v>
      </c>
      <c r="J147" s="55">
        <v>0.13</v>
      </c>
      <c r="K147" s="55">
        <v>0.25</v>
      </c>
      <c r="L147" s="55">
        <v>0.03</v>
      </c>
    </row>
    <row r="148" spans="1:12">
      <c r="A148" s="55">
        <v>141</v>
      </c>
      <c r="B148" s="55" t="s">
        <v>145</v>
      </c>
      <c r="C148" s="55">
        <v>7</v>
      </c>
      <c r="D148" s="55">
        <v>18</v>
      </c>
      <c r="E148" s="55">
        <v>263</v>
      </c>
      <c r="F148" s="55">
        <v>234</v>
      </c>
      <c r="G148" s="55">
        <v>-61.11</v>
      </c>
      <c r="H148" s="55">
        <v>12.39</v>
      </c>
      <c r="I148" s="55">
        <v>0.02</v>
      </c>
      <c r="J148" s="55">
        <v>0.13</v>
      </c>
      <c r="K148" s="55">
        <v>0.08</v>
      </c>
      <c r="L148" s="55">
        <v>0.11</v>
      </c>
    </row>
    <row r="149" spans="1:12">
      <c r="A149" s="55">
        <v>142</v>
      </c>
      <c r="B149" s="55" t="s">
        <v>1034</v>
      </c>
      <c r="C149" s="55">
        <v>16</v>
      </c>
      <c r="D149" s="55">
        <v>0</v>
      </c>
      <c r="E149" s="55">
        <v>263</v>
      </c>
      <c r="F149" s="55">
        <v>0</v>
      </c>
      <c r="G149" s="55">
        <v>0</v>
      </c>
      <c r="H149" s="55">
        <v>0</v>
      </c>
      <c r="I149" s="55">
        <v>0.06</v>
      </c>
      <c r="J149" s="55">
        <v>0.13</v>
      </c>
      <c r="K149" s="55">
        <v>0</v>
      </c>
      <c r="L149" s="55">
        <v>0</v>
      </c>
    </row>
    <row r="150" spans="1:12">
      <c r="A150" s="55">
        <v>143</v>
      </c>
      <c r="B150" s="55" t="s">
        <v>1032</v>
      </c>
      <c r="C150" s="55">
        <v>100</v>
      </c>
      <c r="D150" s="55">
        <v>0</v>
      </c>
      <c r="E150" s="55">
        <v>262</v>
      </c>
      <c r="F150" s="55">
        <v>0</v>
      </c>
      <c r="G150" s="55">
        <v>0</v>
      </c>
      <c r="H150" s="55">
        <v>0</v>
      </c>
      <c r="I150" s="55">
        <v>0.36</v>
      </c>
      <c r="J150" s="55">
        <v>0.12</v>
      </c>
      <c r="K150" s="55">
        <v>0</v>
      </c>
      <c r="L150" s="55">
        <v>0</v>
      </c>
    </row>
    <row r="151" spans="1:12">
      <c r="A151" s="55">
        <v>144</v>
      </c>
      <c r="B151" s="55" t="s">
        <v>635</v>
      </c>
      <c r="C151" s="55">
        <v>31</v>
      </c>
      <c r="D151" s="55">
        <v>15</v>
      </c>
      <c r="E151" s="55">
        <v>261</v>
      </c>
      <c r="F151" s="55">
        <v>103</v>
      </c>
      <c r="G151" s="55">
        <v>106.67</v>
      </c>
      <c r="H151" s="55">
        <v>153.4</v>
      </c>
      <c r="I151" s="55">
        <v>0.11</v>
      </c>
      <c r="J151" s="55">
        <v>0.12</v>
      </c>
      <c r="K151" s="55">
        <v>7.0000000000000007E-2</v>
      </c>
      <c r="L151" s="55">
        <v>0.05</v>
      </c>
    </row>
    <row r="152" spans="1:12">
      <c r="A152" s="55">
        <v>145</v>
      </c>
      <c r="B152" s="55" t="s">
        <v>1021</v>
      </c>
      <c r="C152" s="55">
        <v>32</v>
      </c>
      <c r="D152" s="55">
        <v>30</v>
      </c>
      <c r="E152" s="55">
        <v>259</v>
      </c>
      <c r="F152" s="55">
        <v>180</v>
      </c>
      <c r="G152" s="55">
        <v>6.67</v>
      </c>
      <c r="H152" s="55">
        <v>43.89</v>
      </c>
      <c r="I152" s="55">
        <v>0.11</v>
      </c>
      <c r="J152" s="55">
        <v>0.12</v>
      </c>
      <c r="K152" s="55">
        <v>0.14000000000000001</v>
      </c>
      <c r="L152" s="55">
        <v>0.09</v>
      </c>
    </row>
    <row r="153" spans="1:12">
      <c r="A153" s="55">
        <v>146</v>
      </c>
      <c r="B153" s="55" t="s">
        <v>117</v>
      </c>
      <c r="C153" s="55">
        <v>38</v>
      </c>
      <c r="D153" s="55">
        <v>17</v>
      </c>
      <c r="E153" s="55">
        <v>259</v>
      </c>
      <c r="F153" s="55">
        <v>149</v>
      </c>
      <c r="G153" s="55">
        <v>123.53</v>
      </c>
      <c r="H153" s="55">
        <v>73.83</v>
      </c>
      <c r="I153" s="55">
        <v>0.14000000000000001</v>
      </c>
      <c r="J153" s="55">
        <v>0.12</v>
      </c>
      <c r="K153" s="55">
        <v>0.08</v>
      </c>
      <c r="L153" s="55">
        <v>7.0000000000000007E-2</v>
      </c>
    </row>
    <row r="154" spans="1:12">
      <c r="A154" s="55">
        <v>147</v>
      </c>
      <c r="B154" s="55" t="s">
        <v>97</v>
      </c>
      <c r="C154" s="55">
        <v>33</v>
      </c>
      <c r="D154" s="55">
        <v>47</v>
      </c>
      <c r="E154" s="55">
        <v>254</v>
      </c>
      <c r="F154" s="55">
        <v>463</v>
      </c>
      <c r="G154" s="55">
        <v>-29.79</v>
      </c>
      <c r="H154" s="55">
        <v>-45.14</v>
      </c>
      <c r="I154" s="55">
        <v>0.12</v>
      </c>
      <c r="J154" s="55">
        <v>0.12</v>
      </c>
      <c r="K154" s="55">
        <v>0.21</v>
      </c>
      <c r="L154" s="55">
        <v>0.23</v>
      </c>
    </row>
    <row r="155" spans="1:12">
      <c r="A155" s="55">
        <v>148</v>
      </c>
      <c r="B155" s="55" t="s">
        <v>98</v>
      </c>
      <c r="C155" s="55">
        <v>54</v>
      </c>
      <c r="D155" s="55">
        <v>116</v>
      </c>
      <c r="E155" s="55">
        <v>230</v>
      </c>
      <c r="F155" s="55">
        <v>627</v>
      </c>
      <c r="G155" s="55">
        <v>-53.45</v>
      </c>
      <c r="H155" s="55">
        <v>-63.32</v>
      </c>
      <c r="I155" s="55">
        <v>0.19</v>
      </c>
      <c r="J155" s="55">
        <v>0.11</v>
      </c>
      <c r="K155" s="55">
        <v>0.53</v>
      </c>
      <c r="L155" s="55">
        <v>0.31</v>
      </c>
    </row>
    <row r="156" spans="1:12">
      <c r="A156" s="55">
        <v>149</v>
      </c>
      <c r="B156" s="55" t="s">
        <v>178</v>
      </c>
      <c r="C156" s="55">
        <v>21</v>
      </c>
      <c r="D156" s="55">
        <v>21</v>
      </c>
      <c r="E156" s="55">
        <v>230</v>
      </c>
      <c r="F156" s="55">
        <v>179</v>
      </c>
      <c r="G156" s="55">
        <v>0</v>
      </c>
      <c r="H156" s="55">
        <v>28.49</v>
      </c>
      <c r="I156" s="55">
        <v>7.0000000000000007E-2</v>
      </c>
      <c r="J156" s="55">
        <v>0.11</v>
      </c>
      <c r="K156" s="55">
        <v>0.1</v>
      </c>
      <c r="L156" s="55">
        <v>0.09</v>
      </c>
    </row>
    <row r="157" spans="1:12">
      <c r="A157" s="55">
        <v>150</v>
      </c>
      <c r="B157" s="55" t="s">
        <v>583</v>
      </c>
      <c r="C157" s="55">
        <v>80</v>
      </c>
      <c r="D157" s="55">
        <v>5</v>
      </c>
      <c r="E157" s="55">
        <v>227</v>
      </c>
      <c r="F157" s="55">
        <v>1354</v>
      </c>
      <c r="G157" s="55">
        <v>1500</v>
      </c>
      <c r="H157" s="55">
        <v>-83.23</v>
      </c>
      <c r="I157" s="55">
        <v>0.28000000000000003</v>
      </c>
      <c r="J157" s="55">
        <v>0.11</v>
      </c>
      <c r="K157" s="55">
        <v>0.02</v>
      </c>
      <c r="L157" s="55">
        <v>0.66</v>
      </c>
    </row>
    <row r="158" spans="1:12">
      <c r="A158" s="55">
        <v>151</v>
      </c>
      <c r="B158" s="55" t="s">
        <v>153</v>
      </c>
      <c r="C158" s="55">
        <v>22</v>
      </c>
      <c r="D158" s="55">
        <v>50</v>
      </c>
      <c r="E158" s="55">
        <v>227</v>
      </c>
      <c r="F158" s="55">
        <v>601</v>
      </c>
      <c r="G158" s="55">
        <v>-56</v>
      </c>
      <c r="H158" s="55">
        <v>-62.23</v>
      </c>
      <c r="I158" s="55">
        <v>0.08</v>
      </c>
      <c r="J158" s="55">
        <v>0.11</v>
      </c>
      <c r="K158" s="55">
        <v>0.23</v>
      </c>
      <c r="L158" s="55">
        <v>0.28999999999999998</v>
      </c>
    </row>
    <row r="159" spans="1:12">
      <c r="A159" s="55">
        <v>152</v>
      </c>
      <c r="B159" s="55" t="s">
        <v>142</v>
      </c>
      <c r="C159" s="55">
        <v>28</v>
      </c>
      <c r="D159" s="55">
        <v>42</v>
      </c>
      <c r="E159" s="55">
        <v>224</v>
      </c>
      <c r="F159" s="55">
        <v>217</v>
      </c>
      <c r="G159" s="55">
        <v>-33.33</v>
      </c>
      <c r="H159" s="55">
        <v>3.23</v>
      </c>
      <c r="I159" s="55">
        <v>0.1</v>
      </c>
      <c r="J159" s="55">
        <v>0.11</v>
      </c>
      <c r="K159" s="55">
        <v>0.19</v>
      </c>
      <c r="L159" s="55">
        <v>0.11</v>
      </c>
    </row>
    <row r="160" spans="1:12">
      <c r="A160" s="55">
        <v>153</v>
      </c>
      <c r="B160" s="55" t="s">
        <v>103</v>
      </c>
      <c r="C160" s="55">
        <v>12</v>
      </c>
      <c r="D160" s="55">
        <v>13</v>
      </c>
      <c r="E160" s="55">
        <v>224</v>
      </c>
      <c r="F160" s="55">
        <v>130</v>
      </c>
      <c r="G160" s="55">
        <v>-7.69</v>
      </c>
      <c r="H160" s="55">
        <v>72.31</v>
      </c>
      <c r="I160" s="55">
        <v>0.04</v>
      </c>
      <c r="J160" s="55">
        <v>0.11</v>
      </c>
      <c r="K160" s="55">
        <v>0.06</v>
      </c>
      <c r="L160" s="55">
        <v>0.06</v>
      </c>
    </row>
    <row r="161" spans="1:12">
      <c r="A161" s="55">
        <v>154</v>
      </c>
      <c r="B161" s="55" t="s">
        <v>369</v>
      </c>
      <c r="C161" s="55">
        <v>33</v>
      </c>
      <c r="D161" s="55">
        <v>180</v>
      </c>
      <c r="E161" s="55">
        <v>220</v>
      </c>
      <c r="F161" s="55">
        <v>500</v>
      </c>
      <c r="G161" s="55">
        <v>-81.67</v>
      </c>
      <c r="H161" s="55">
        <v>-56</v>
      </c>
      <c r="I161" s="55">
        <v>0.12</v>
      </c>
      <c r="J161" s="55">
        <v>0.1</v>
      </c>
      <c r="K161" s="55">
        <v>0.82</v>
      </c>
      <c r="L161" s="55">
        <v>0.24</v>
      </c>
    </row>
    <row r="162" spans="1:12">
      <c r="A162" s="55">
        <v>155</v>
      </c>
      <c r="B162" s="55" t="s">
        <v>150</v>
      </c>
      <c r="C162" s="55">
        <v>26</v>
      </c>
      <c r="D162" s="55">
        <v>19</v>
      </c>
      <c r="E162" s="55">
        <v>218</v>
      </c>
      <c r="F162" s="55">
        <v>182</v>
      </c>
      <c r="G162" s="55">
        <v>36.840000000000003</v>
      </c>
      <c r="H162" s="55">
        <v>19.78</v>
      </c>
      <c r="I162" s="55">
        <v>0.09</v>
      </c>
      <c r="J162" s="55">
        <v>0.1</v>
      </c>
      <c r="K162" s="55">
        <v>0.09</v>
      </c>
      <c r="L162" s="55">
        <v>0.09</v>
      </c>
    </row>
    <row r="163" spans="1:12">
      <c r="A163" s="55">
        <v>156</v>
      </c>
      <c r="B163" s="55" t="s">
        <v>113</v>
      </c>
      <c r="C163" s="55">
        <v>19</v>
      </c>
      <c r="D163" s="55">
        <v>54</v>
      </c>
      <c r="E163" s="55">
        <v>207</v>
      </c>
      <c r="F163" s="55">
        <v>273</v>
      </c>
      <c r="G163" s="55">
        <v>-64.81</v>
      </c>
      <c r="H163" s="55">
        <v>-24.18</v>
      </c>
      <c r="I163" s="55">
        <v>7.0000000000000007E-2</v>
      </c>
      <c r="J163" s="55">
        <v>0.1</v>
      </c>
      <c r="K163" s="55">
        <v>0.24</v>
      </c>
      <c r="L163" s="55">
        <v>0.13</v>
      </c>
    </row>
    <row r="164" spans="1:12">
      <c r="A164" s="55">
        <v>157</v>
      </c>
      <c r="B164" s="55" t="s">
        <v>165</v>
      </c>
      <c r="C164" s="55">
        <v>29</v>
      </c>
      <c r="D164" s="55">
        <v>50</v>
      </c>
      <c r="E164" s="55">
        <v>206</v>
      </c>
      <c r="F164" s="55">
        <v>278</v>
      </c>
      <c r="G164" s="55">
        <v>-42</v>
      </c>
      <c r="H164" s="55">
        <v>-25.9</v>
      </c>
      <c r="I164" s="55">
        <v>0.1</v>
      </c>
      <c r="J164" s="55">
        <v>0.1</v>
      </c>
      <c r="K164" s="55">
        <v>0.23</v>
      </c>
      <c r="L164" s="55">
        <v>0.14000000000000001</v>
      </c>
    </row>
    <row r="165" spans="1:12">
      <c r="A165" s="55">
        <v>158</v>
      </c>
      <c r="B165" s="55" t="s">
        <v>169</v>
      </c>
      <c r="C165" s="55">
        <v>10</v>
      </c>
      <c r="D165" s="55">
        <v>16</v>
      </c>
      <c r="E165" s="55">
        <v>205</v>
      </c>
      <c r="F165" s="55">
        <v>108</v>
      </c>
      <c r="G165" s="55">
        <v>-37.5</v>
      </c>
      <c r="H165" s="55">
        <v>89.81</v>
      </c>
      <c r="I165" s="55">
        <v>0.04</v>
      </c>
      <c r="J165" s="55">
        <v>0.1</v>
      </c>
      <c r="K165" s="55">
        <v>7.0000000000000007E-2</v>
      </c>
      <c r="L165" s="55">
        <v>0.05</v>
      </c>
    </row>
    <row r="166" spans="1:12">
      <c r="A166" s="55">
        <v>159</v>
      </c>
      <c r="B166" s="55" t="s">
        <v>128</v>
      </c>
      <c r="C166" s="55">
        <v>28</v>
      </c>
      <c r="D166" s="55">
        <v>33</v>
      </c>
      <c r="E166" s="55">
        <v>201</v>
      </c>
      <c r="F166" s="55">
        <v>214</v>
      </c>
      <c r="G166" s="55">
        <v>-15.15</v>
      </c>
      <c r="H166" s="55">
        <v>-6.07</v>
      </c>
      <c r="I166" s="55">
        <v>0.1</v>
      </c>
      <c r="J166" s="55">
        <v>0.1</v>
      </c>
      <c r="K166" s="55">
        <v>0.15</v>
      </c>
      <c r="L166" s="55">
        <v>0.1</v>
      </c>
    </row>
    <row r="167" spans="1:12">
      <c r="A167" s="55">
        <v>160</v>
      </c>
      <c r="B167" s="55" t="s">
        <v>100</v>
      </c>
      <c r="C167" s="55">
        <v>10</v>
      </c>
      <c r="D167" s="55">
        <v>25</v>
      </c>
      <c r="E167" s="55">
        <v>199</v>
      </c>
      <c r="F167" s="55">
        <v>288</v>
      </c>
      <c r="G167" s="55">
        <v>-60</v>
      </c>
      <c r="H167" s="55">
        <v>-30.9</v>
      </c>
      <c r="I167" s="55">
        <v>0.04</v>
      </c>
      <c r="J167" s="55">
        <v>0.09</v>
      </c>
      <c r="K167" s="55">
        <v>0.11</v>
      </c>
      <c r="L167" s="55">
        <v>0.14000000000000001</v>
      </c>
    </row>
    <row r="168" spans="1:12">
      <c r="A168" s="55">
        <v>161</v>
      </c>
      <c r="B168" s="55" t="s">
        <v>479</v>
      </c>
      <c r="C168" s="55">
        <v>2</v>
      </c>
      <c r="D168" s="55">
        <v>15</v>
      </c>
      <c r="E168" s="55">
        <v>197</v>
      </c>
      <c r="F168" s="55">
        <v>198</v>
      </c>
      <c r="G168" s="55">
        <v>-86.67</v>
      </c>
      <c r="H168" s="55">
        <v>-0.51</v>
      </c>
      <c r="I168" s="55">
        <v>0.01</v>
      </c>
      <c r="J168" s="55">
        <v>0.09</v>
      </c>
      <c r="K168" s="55">
        <v>7.0000000000000007E-2</v>
      </c>
      <c r="L168" s="55">
        <v>0.1</v>
      </c>
    </row>
    <row r="169" spans="1:12">
      <c r="A169" s="55">
        <v>162</v>
      </c>
      <c r="B169" s="55" t="s">
        <v>176</v>
      </c>
      <c r="C169" s="55">
        <v>4</v>
      </c>
      <c r="D169" s="55">
        <v>56</v>
      </c>
      <c r="E169" s="55">
        <v>189</v>
      </c>
      <c r="F169" s="55">
        <v>348</v>
      </c>
      <c r="G169" s="55">
        <v>-92.86</v>
      </c>
      <c r="H169" s="55">
        <v>-45.69</v>
      </c>
      <c r="I169" s="55">
        <v>0.01</v>
      </c>
      <c r="J169" s="55">
        <v>0.09</v>
      </c>
      <c r="K169" s="55">
        <v>0.25</v>
      </c>
      <c r="L169" s="55">
        <v>0.17</v>
      </c>
    </row>
    <row r="170" spans="1:12">
      <c r="A170" s="55">
        <v>163</v>
      </c>
      <c r="B170" s="55" t="s">
        <v>156</v>
      </c>
      <c r="C170" s="55">
        <v>39</v>
      </c>
      <c r="D170" s="55">
        <v>40</v>
      </c>
      <c r="E170" s="55">
        <v>182</v>
      </c>
      <c r="F170" s="55">
        <v>405</v>
      </c>
      <c r="G170" s="55">
        <v>-2.5</v>
      </c>
      <c r="H170" s="55">
        <v>-55.06</v>
      </c>
      <c r="I170" s="55">
        <v>0.14000000000000001</v>
      </c>
      <c r="J170" s="55">
        <v>0.09</v>
      </c>
      <c r="K170" s="55">
        <v>0.18</v>
      </c>
      <c r="L170" s="55">
        <v>0.2</v>
      </c>
    </row>
    <row r="171" spans="1:12">
      <c r="A171" s="55">
        <v>164</v>
      </c>
      <c r="B171" s="55" t="s">
        <v>189</v>
      </c>
      <c r="C171" s="55">
        <v>5</v>
      </c>
      <c r="D171" s="55">
        <v>5</v>
      </c>
      <c r="E171" s="55">
        <v>177</v>
      </c>
      <c r="F171" s="55">
        <v>118</v>
      </c>
      <c r="G171" s="55">
        <v>0</v>
      </c>
      <c r="H171" s="55">
        <v>50</v>
      </c>
      <c r="I171" s="55">
        <v>0.02</v>
      </c>
      <c r="J171" s="55">
        <v>0.08</v>
      </c>
      <c r="K171" s="55">
        <v>0.02</v>
      </c>
      <c r="L171" s="55">
        <v>0.06</v>
      </c>
    </row>
    <row r="172" spans="1:12">
      <c r="A172" s="55">
        <v>165</v>
      </c>
      <c r="B172" s="55" t="s">
        <v>161</v>
      </c>
      <c r="C172" s="55">
        <v>56</v>
      </c>
      <c r="D172" s="55">
        <v>27</v>
      </c>
      <c r="E172" s="55">
        <v>175</v>
      </c>
      <c r="F172" s="55">
        <v>320</v>
      </c>
      <c r="G172" s="55">
        <v>107.41</v>
      </c>
      <c r="H172" s="55">
        <v>-45.31</v>
      </c>
      <c r="I172" s="55">
        <v>0.2</v>
      </c>
      <c r="J172" s="55">
        <v>0.08</v>
      </c>
      <c r="K172" s="55">
        <v>0.12</v>
      </c>
      <c r="L172" s="55">
        <v>0.16</v>
      </c>
    </row>
    <row r="173" spans="1:12">
      <c r="A173" s="55">
        <v>166</v>
      </c>
      <c r="B173" s="55" t="s">
        <v>163</v>
      </c>
      <c r="C173" s="55">
        <v>18</v>
      </c>
      <c r="D173" s="55">
        <v>12</v>
      </c>
      <c r="E173" s="55">
        <v>159</v>
      </c>
      <c r="F173" s="55">
        <v>153</v>
      </c>
      <c r="G173" s="55">
        <v>50</v>
      </c>
      <c r="H173" s="55">
        <v>3.92</v>
      </c>
      <c r="I173" s="55">
        <v>0.06</v>
      </c>
      <c r="J173" s="55">
        <v>0.08</v>
      </c>
      <c r="K173" s="55">
        <v>0.05</v>
      </c>
      <c r="L173" s="55">
        <v>7.0000000000000007E-2</v>
      </c>
    </row>
    <row r="174" spans="1:12">
      <c r="A174" s="55">
        <v>167</v>
      </c>
      <c r="B174" s="55" t="s">
        <v>607</v>
      </c>
      <c r="C174" s="55">
        <v>10</v>
      </c>
      <c r="D174" s="55">
        <v>22</v>
      </c>
      <c r="E174" s="55">
        <v>153</v>
      </c>
      <c r="F174" s="55">
        <v>208</v>
      </c>
      <c r="G174" s="55">
        <v>-54.55</v>
      </c>
      <c r="H174" s="55">
        <v>-26.44</v>
      </c>
      <c r="I174" s="55">
        <v>0.04</v>
      </c>
      <c r="J174" s="55">
        <v>7.0000000000000007E-2</v>
      </c>
      <c r="K174" s="55">
        <v>0.1</v>
      </c>
      <c r="L174" s="55">
        <v>0.1</v>
      </c>
    </row>
    <row r="175" spans="1:12">
      <c r="A175" s="55">
        <v>168</v>
      </c>
      <c r="B175" s="55" t="s">
        <v>191</v>
      </c>
      <c r="C175" s="55">
        <v>14</v>
      </c>
      <c r="D175" s="55">
        <v>10</v>
      </c>
      <c r="E175" s="55">
        <v>153</v>
      </c>
      <c r="F175" s="55">
        <v>74</v>
      </c>
      <c r="G175" s="55">
        <v>40</v>
      </c>
      <c r="H175" s="55">
        <v>106.76</v>
      </c>
      <c r="I175" s="55">
        <v>0.05</v>
      </c>
      <c r="J175" s="55">
        <v>7.0000000000000007E-2</v>
      </c>
      <c r="K175" s="55">
        <v>0.05</v>
      </c>
      <c r="L175" s="55">
        <v>0.04</v>
      </c>
    </row>
    <row r="176" spans="1:12">
      <c r="A176" s="55">
        <v>169</v>
      </c>
      <c r="B176" s="55" t="s">
        <v>222</v>
      </c>
      <c r="C176" s="55">
        <v>10</v>
      </c>
      <c r="D176" s="55">
        <v>5</v>
      </c>
      <c r="E176" s="55">
        <v>146</v>
      </c>
      <c r="F176" s="55">
        <v>57</v>
      </c>
      <c r="G176" s="55">
        <v>100</v>
      </c>
      <c r="H176" s="55">
        <v>156.13999999999999</v>
      </c>
      <c r="I176" s="55">
        <v>0.04</v>
      </c>
      <c r="J176" s="55">
        <v>7.0000000000000007E-2</v>
      </c>
      <c r="K176" s="55">
        <v>0.02</v>
      </c>
      <c r="L176" s="55">
        <v>0.03</v>
      </c>
    </row>
    <row r="177" spans="1:12">
      <c r="A177" s="55">
        <v>170</v>
      </c>
      <c r="B177" s="55" t="s">
        <v>89</v>
      </c>
      <c r="C177" s="55">
        <v>12</v>
      </c>
      <c r="D177" s="55">
        <v>24</v>
      </c>
      <c r="E177" s="55">
        <v>144</v>
      </c>
      <c r="F177" s="55">
        <v>136</v>
      </c>
      <c r="G177" s="55">
        <v>-50</v>
      </c>
      <c r="H177" s="55">
        <v>5.88</v>
      </c>
      <c r="I177" s="55">
        <v>0.04</v>
      </c>
      <c r="J177" s="55">
        <v>7.0000000000000007E-2</v>
      </c>
      <c r="K177" s="55">
        <v>0.11</v>
      </c>
      <c r="L177" s="55">
        <v>7.0000000000000007E-2</v>
      </c>
    </row>
    <row r="178" spans="1:12">
      <c r="A178" s="55">
        <v>171</v>
      </c>
      <c r="B178" s="55" t="s">
        <v>174</v>
      </c>
      <c r="C178" s="55">
        <v>18</v>
      </c>
      <c r="D178" s="55">
        <v>18</v>
      </c>
      <c r="E178" s="55">
        <v>144</v>
      </c>
      <c r="F178" s="55">
        <v>86</v>
      </c>
      <c r="G178" s="55">
        <v>0</v>
      </c>
      <c r="H178" s="55">
        <v>67.44</v>
      </c>
      <c r="I178" s="55">
        <v>0.06</v>
      </c>
      <c r="J178" s="55">
        <v>7.0000000000000007E-2</v>
      </c>
      <c r="K178" s="55">
        <v>0.08</v>
      </c>
      <c r="L178" s="55">
        <v>0.04</v>
      </c>
    </row>
    <row r="179" spans="1:12">
      <c r="A179" s="55">
        <v>172</v>
      </c>
      <c r="B179" s="55" t="s">
        <v>144</v>
      </c>
      <c r="C179" s="55">
        <v>32</v>
      </c>
      <c r="D179" s="55">
        <v>67</v>
      </c>
      <c r="E179" s="55">
        <v>141</v>
      </c>
      <c r="F179" s="55">
        <v>502</v>
      </c>
      <c r="G179" s="55">
        <v>-52.24</v>
      </c>
      <c r="H179" s="55">
        <v>-71.91</v>
      </c>
      <c r="I179" s="55">
        <v>0.11</v>
      </c>
      <c r="J179" s="55">
        <v>7.0000000000000007E-2</v>
      </c>
      <c r="K179" s="55">
        <v>0.3</v>
      </c>
      <c r="L179" s="55">
        <v>0.25</v>
      </c>
    </row>
    <row r="180" spans="1:12">
      <c r="A180" s="55">
        <v>173</v>
      </c>
      <c r="B180" s="55" t="s">
        <v>1078</v>
      </c>
      <c r="C180" s="55">
        <v>19</v>
      </c>
      <c r="D180" s="55">
        <v>5</v>
      </c>
      <c r="E180" s="55">
        <v>138</v>
      </c>
      <c r="F180" s="55">
        <v>16</v>
      </c>
      <c r="G180" s="55">
        <v>280</v>
      </c>
      <c r="H180" s="55">
        <v>762.5</v>
      </c>
      <c r="I180" s="55">
        <v>7.0000000000000007E-2</v>
      </c>
      <c r="J180" s="55">
        <v>7.0000000000000007E-2</v>
      </c>
      <c r="K180" s="55">
        <v>0.02</v>
      </c>
      <c r="L180" s="55">
        <v>0.01</v>
      </c>
    </row>
    <row r="181" spans="1:12">
      <c r="A181" s="55">
        <v>174</v>
      </c>
      <c r="B181" s="55" t="s">
        <v>175</v>
      </c>
      <c r="C181" s="55">
        <v>21</v>
      </c>
      <c r="D181" s="55">
        <v>35</v>
      </c>
      <c r="E181" s="55">
        <v>134</v>
      </c>
      <c r="F181" s="55">
        <v>274</v>
      </c>
      <c r="G181" s="55">
        <v>-40</v>
      </c>
      <c r="H181" s="55">
        <v>-51.09</v>
      </c>
      <c r="I181" s="55">
        <v>7.0000000000000007E-2</v>
      </c>
      <c r="J181" s="55">
        <v>0.06</v>
      </c>
      <c r="K181" s="55">
        <v>0.16</v>
      </c>
      <c r="L181" s="55">
        <v>0.13</v>
      </c>
    </row>
    <row r="182" spans="1:12">
      <c r="A182" s="55">
        <v>175</v>
      </c>
      <c r="B182" s="55" t="s">
        <v>707</v>
      </c>
      <c r="C182" s="55">
        <v>13</v>
      </c>
      <c r="D182" s="55">
        <v>0</v>
      </c>
      <c r="E182" s="55">
        <v>133</v>
      </c>
      <c r="F182" s="55">
        <v>3</v>
      </c>
      <c r="G182" s="55">
        <v>0</v>
      </c>
      <c r="H182" s="55">
        <v>4333.33</v>
      </c>
      <c r="I182" s="55">
        <v>0.05</v>
      </c>
      <c r="J182" s="55">
        <v>0.06</v>
      </c>
      <c r="K182" s="55">
        <v>0</v>
      </c>
      <c r="L182" s="55">
        <v>0</v>
      </c>
    </row>
    <row r="183" spans="1:12">
      <c r="A183" s="55">
        <v>176</v>
      </c>
      <c r="B183" s="55" t="s">
        <v>79</v>
      </c>
      <c r="C183" s="55">
        <v>4</v>
      </c>
      <c r="D183" s="55">
        <v>15</v>
      </c>
      <c r="E183" s="55">
        <v>130</v>
      </c>
      <c r="F183" s="55">
        <v>515</v>
      </c>
      <c r="G183" s="55">
        <v>-73.33</v>
      </c>
      <c r="H183" s="55">
        <v>-74.760000000000005</v>
      </c>
      <c r="I183" s="55">
        <v>0.01</v>
      </c>
      <c r="J183" s="55">
        <v>0.06</v>
      </c>
      <c r="K183" s="55">
        <v>7.0000000000000007E-2</v>
      </c>
      <c r="L183" s="55">
        <v>0.25</v>
      </c>
    </row>
    <row r="184" spans="1:12">
      <c r="A184" s="55">
        <v>177</v>
      </c>
      <c r="B184" s="55" t="s">
        <v>186</v>
      </c>
      <c r="C184" s="55">
        <v>8</v>
      </c>
      <c r="D184" s="55">
        <v>15</v>
      </c>
      <c r="E184" s="55">
        <v>129</v>
      </c>
      <c r="F184" s="55">
        <v>138</v>
      </c>
      <c r="G184" s="55">
        <v>-46.67</v>
      </c>
      <c r="H184" s="55">
        <v>-6.52</v>
      </c>
      <c r="I184" s="55">
        <v>0.03</v>
      </c>
      <c r="J184" s="55">
        <v>0.06</v>
      </c>
      <c r="K184" s="55">
        <v>7.0000000000000007E-2</v>
      </c>
      <c r="L184" s="55">
        <v>7.0000000000000007E-2</v>
      </c>
    </row>
    <row r="185" spans="1:12">
      <c r="A185" s="55">
        <v>178</v>
      </c>
      <c r="B185" s="55" t="s">
        <v>695</v>
      </c>
      <c r="C185" s="55">
        <v>23</v>
      </c>
      <c r="D185" s="55">
        <v>12</v>
      </c>
      <c r="E185" s="55">
        <v>129</v>
      </c>
      <c r="F185" s="55">
        <v>20</v>
      </c>
      <c r="G185" s="55">
        <v>91.67</v>
      </c>
      <c r="H185" s="55">
        <v>545</v>
      </c>
      <c r="I185" s="55">
        <v>0.08</v>
      </c>
      <c r="J185" s="55">
        <v>0.06</v>
      </c>
      <c r="K185" s="55">
        <v>0.05</v>
      </c>
      <c r="L185" s="55">
        <v>0.01</v>
      </c>
    </row>
    <row r="186" spans="1:12">
      <c r="A186" s="55">
        <v>179</v>
      </c>
      <c r="B186" s="55" t="s">
        <v>696</v>
      </c>
      <c r="C186" s="55">
        <v>6</v>
      </c>
      <c r="D186" s="55">
        <v>0</v>
      </c>
      <c r="E186" s="55">
        <v>127</v>
      </c>
      <c r="F186" s="55">
        <v>12</v>
      </c>
      <c r="G186" s="55">
        <v>0</v>
      </c>
      <c r="H186" s="55">
        <v>958.33</v>
      </c>
      <c r="I186" s="55">
        <v>0.02</v>
      </c>
      <c r="J186" s="55">
        <v>0.06</v>
      </c>
      <c r="K186" s="55">
        <v>0</v>
      </c>
      <c r="L186" s="55">
        <v>0.01</v>
      </c>
    </row>
    <row r="187" spans="1:12">
      <c r="A187" s="55">
        <v>180</v>
      </c>
      <c r="B187" s="55" t="s">
        <v>208</v>
      </c>
      <c r="C187" s="55">
        <v>11</v>
      </c>
      <c r="D187" s="55">
        <v>9</v>
      </c>
      <c r="E187" s="55">
        <v>125</v>
      </c>
      <c r="F187" s="55">
        <v>155</v>
      </c>
      <c r="G187" s="55">
        <v>22.22</v>
      </c>
      <c r="H187" s="55">
        <v>-19.350000000000001</v>
      </c>
      <c r="I187" s="55">
        <v>0.04</v>
      </c>
      <c r="J187" s="55">
        <v>0.06</v>
      </c>
      <c r="K187" s="55">
        <v>0.04</v>
      </c>
      <c r="L187" s="55">
        <v>0.08</v>
      </c>
    </row>
    <row r="188" spans="1:12">
      <c r="A188" s="55">
        <v>181</v>
      </c>
      <c r="B188" s="55" t="s">
        <v>146</v>
      </c>
      <c r="C188" s="55">
        <v>19</v>
      </c>
      <c r="D188" s="55">
        <v>7</v>
      </c>
      <c r="E188" s="55">
        <v>125</v>
      </c>
      <c r="F188" s="55">
        <v>114</v>
      </c>
      <c r="G188" s="55">
        <v>171.43</v>
      </c>
      <c r="H188" s="55">
        <v>9.65</v>
      </c>
      <c r="I188" s="55">
        <v>7.0000000000000007E-2</v>
      </c>
      <c r="J188" s="55">
        <v>0.06</v>
      </c>
      <c r="K188" s="55">
        <v>0.03</v>
      </c>
      <c r="L188" s="55">
        <v>0.06</v>
      </c>
    </row>
    <row r="189" spans="1:12">
      <c r="A189" s="55">
        <v>182</v>
      </c>
      <c r="B189" s="55" t="s">
        <v>204</v>
      </c>
      <c r="C189" s="55">
        <v>10</v>
      </c>
      <c r="D189" s="55">
        <v>30</v>
      </c>
      <c r="E189" s="55">
        <v>123</v>
      </c>
      <c r="F189" s="55">
        <v>213</v>
      </c>
      <c r="G189" s="55">
        <v>-66.67</v>
      </c>
      <c r="H189" s="55">
        <v>-42.25</v>
      </c>
      <c r="I189" s="55">
        <v>0.04</v>
      </c>
      <c r="J189" s="55">
        <v>0.06</v>
      </c>
      <c r="K189" s="55">
        <v>0.14000000000000001</v>
      </c>
      <c r="L189" s="55">
        <v>0.1</v>
      </c>
    </row>
    <row r="190" spans="1:12">
      <c r="A190" s="55">
        <v>183</v>
      </c>
      <c r="B190" s="55" t="s">
        <v>557</v>
      </c>
      <c r="C190" s="55">
        <v>6</v>
      </c>
      <c r="D190" s="55">
        <v>15</v>
      </c>
      <c r="E190" s="55">
        <v>123</v>
      </c>
      <c r="F190" s="55">
        <v>196</v>
      </c>
      <c r="G190" s="55">
        <v>-60</v>
      </c>
      <c r="H190" s="55">
        <v>-37.24</v>
      </c>
      <c r="I190" s="55">
        <v>0.02</v>
      </c>
      <c r="J190" s="55">
        <v>0.06</v>
      </c>
      <c r="K190" s="55">
        <v>7.0000000000000007E-2</v>
      </c>
      <c r="L190" s="55">
        <v>0.1</v>
      </c>
    </row>
    <row r="191" spans="1:12">
      <c r="A191" s="55">
        <v>184</v>
      </c>
      <c r="B191" s="55" t="s">
        <v>120</v>
      </c>
      <c r="C191" s="55">
        <v>9</v>
      </c>
      <c r="D191" s="55">
        <v>12</v>
      </c>
      <c r="E191" s="55">
        <v>123</v>
      </c>
      <c r="F191" s="55">
        <v>143</v>
      </c>
      <c r="G191" s="55">
        <v>-25</v>
      </c>
      <c r="H191" s="55">
        <v>-13.99</v>
      </c>
      <c r="I191" s="55">
        <v>0.03</v>
      </c>
      <c r="J191" s="55">
        <v>0.06</v>
      </c>
      <c r="K191" s="55">
        <v>0.05</v>
      </c>
      <c r="L191" s="55">
        <v>7.0000000000000007E-2</v>
      </c>
    </row>
    <row r="192" spans="1:12">
      <c r="A192" s="55">
        <v>185</v>
      </c>
      <c r="B192" s="55" t="s">
        <v>1033</v>
      </c>
      <c r="C192" s="55">
        <v>7</v>
      </c>
      <c r="D192" s="55">
        <v>0</v>
      </c>
      <c r="E192" s="55">
        <v>121</v>
      </c>
      <c r="F192" s="55">
        <v>0</v>
      </c>
      <c r="G192" s="55">
        <v>0</v>
      </c>
      <c r="H192" s="55">
        <v>0</v>
      </c>
      <c r="I192" s="55">
        <v>0.02</v>
      </c>
      <c r="J192" s="55">
        <v>0.06</v>
      </c>
      <c r="K192" s="55">
        <v>0</v>
      </c>
      <c r="L192" s="55">
        <v>0</v>
      </c>
    </row>
    <row r="193" spans="1:12">
      <c r="A193" s="55">
        <v>186</v>
      </c>
      <c r="B193" s="55" t="s">
        <v>198</v>
      </c>
      <c r="C193" s="55">
        <v>22</v>
      </c>
      <c r="D193" s="55">
        <v>9</v>
      </c>
      <c r="E193" s="55">
        <v>120</v>
      </c>
      <c r="F193" s="55">
        <v>91</v>
      </c>
      <c r="G193" s="55">
        <v>144.44</v>
      </c>
      <c r="H193" s="55">
        <v>31.87</v>
      </c>
      <c r="I193" s="55">
        <v>0.08</v>
      </c>
      <c r="J193" s="55">
        <v>0.06</v>
      </c>
      <c r="K193" s="55">
        <v>0.04</v>
      </c>
      <c r="L193" s="55">
        <v>0.04</v>
      </c>
    </row>
    <row r="194" spans="1:12">
      <c r="A194" s="55">
        <v>187</v>
      </c>
      <c r="B194" s="55" t="s">
        <v>626</v>
      </c>
      <c r="C194" s="55">
        <v>9</v>
      </c>
      <c r="D194" s="55">
        <v>18</v>
      </c>
      <c r="E194" s="55">
        <v>117</v>
      </c>
      <c r="F194" s="55">
        <v>163</v>
      </c>
      <c r="G194" s="55">
        <v>-50</v>
      </c>
      <c r="H194" s="55">
        <v>-28.22</v>
      </c>
      <c r="I194" s="55">
        <v>0.03</v>
      </c>
      <c r="J194" s="55">
        <v>0.06</v>
      </c>
      <c r="K194" s="55">
        <v>0.08</v>
      </c>
      <c r="L194" s="55">
        <v>0.08</v>
      </c>
    </row>
    <row r="195" spans="1:12">
      <c r="A195" s="55">
        <v>188</v>
      </c>
      <c r="B195" s="55" t="s">
        <v>127</v>
      </c>
      <c r="C195" s="55">
        <v>17</v>
      </c>
      <c r="D195" s="55">
        <v>32</v>
      </c>
      <c r="E195" s="55">
        <v>114</v>
      </c>
      <c r="F195" s="55">
        <v>162</v>
      </c>
      <c r="G195" s="55">
        <v>-46.88</v>
      </c>
      <c r="H195" s="55">
        <v>-29.63</v>
      </c>
      <c r="I195" s="55">
        <v>0.06</v>
      </c>
      <c r="J195" s="55">
        <v>0.05</v>
      </c>
      <c r="K195" s="55">
        <v>0.15</v>
      </c>
      <c r="L195" s="55">
        <v>0.08</v>
      </c>
    </row>
    <row r="196" spans="1:12">
      <c r="A196" s="55">
        <v>189</v>
      </c>
      <c r="B196" s="55" t="s">
        <v>391</v>
      </c>
      <c r="C196" s="55">
        <v>0</v>
      </c>
      <c r="D196" s="55">
        <v>27</v>
      </c>
      <c r="E196" s="55">
        <v>110</v>
      </c>
      <c r="F196" s="55">
        <v>158</v>
      </c>
      <c r="G196" s="55">
        <v>-100</v>
      </c>
      <c r="H196" s="55">
        <v>-30.38</v>
      </c>
      <c r="I196" s="55">
        <v>0</v>
      </c>
      <c r="J196" s="55">
        <v>0.05</v>
      </c>
      <c r="K196" s="55">
        <v>0.12</v>
      </c>
      <c r="L196" s="55">
        <v>0.08</v>
      </c>
    </row>
    <row r="197" spans="1:12">
      <c r="A197" s="55">
        <v>190</v>
      </c>
      <c r="B197" s="55" t="s">
        <v>371</v>
      </c>
      <c r="C197" s="55">
        <v>16</v>
      </c>
      <c r="D197" s="55">
        <v>18</v>
      </c>
      <c r="E197" s="55">
        <v>110</v>
      </c>
      <c r="F197" s="55">
        <v>138</v>
      </c>
      <c r="G197" s="55">
        <v>-11.11</v>
      </c>
      <c r="H197" s="55">
        <v>-20.29</v>
      </c>
      <c r="I197" s="55">
        <v>0.06</v>
      </c>
      <c r="J197" s="55">
        <v>0.05</v>
      </c>
      <c r="K197" s="55">
        <v>0.08</v>
      </c>
      <c r="L197" s="55">
        <v>7.0000000000000007E-2</v>
      </c>
    </row>
    <row r="198" spans="1:12">
      <c r="A198" s="55">
        <v>191</v>
      </c>
      <c r="B198" s="55" t="s">
        <v>1056</v>
      </c>
      <c r="C198" s="55">
        <v>2</v>
      </c>
      <c r="D198" s="55">
        <v>0</v>
      </c>
      <c r="E198" s="55">
        <v>105</v>
      </c>
      <c r="F198" s="55">
        <v>0</v>
      </c>
      <c r="G198" s="55">
        <v>0</v>
      </c>
      <c r="H198" s="55">
        <v>0</v>
      </c>
      <c r="I198" s="55">
        <v>0.01</v>
      </c>
      <c r="J198" s="55">
        <v>0.05</v>
      </c>
      <c r="K198" s="55">
        <v>0</v>
      </c>
      <c r="L198" s="55">
        <v>0</v>
      </c>
    </row>
    <row r="199" spans="1:12">
      <c r="A199" s="55">
        <v>192</v>
      </c>
      <c r="B199" s="55" t="s">
        <v>199</v>
      </c>
      <c r="C199" s="55">
        <v>22</v>
      </c>
      <c r="D199" s="55">
        <v>17</v>
      </c>
      <c r="E199" s="55">
        <v>102</v>
      </c>
      <c r="F199" s="55">
        <v>117</v>
      </c>
      <c r="G199" s="55">
        <v>29.41</v>
      </c>
      <c r="H199" s="55">
        <v>-12.82</v>
      </c>
      <c r="I199" s="55">
        <v>0.08</v>
      </c>
      <c r="J199" s="55">
        <v>0.05</v>
      </c>
      <c r="K199" s="55">
        <v>0.08</v>
      </c>
      <c r="L199" s="55">
        <v>0.06</v>
      </c>
    </row>
    <row r="200" spans="1:12">
      <c r="A200" s="55">
        <v>193</v>
      </c>
      <c r="B200" s="55" t="s">
        <v>187</v>
      </c>
      <c r="C200" s="55">
        <v>3</v>
      </c>
      <c r="D200" s="55">
        <v>1</v>
      </c>
      <c r="E200" s="55">
        <v>101</v>
      </c>
      <c r="F200" s="55">
        <v>42</v>
      </c>
      <c r="G200" s="55">
        <v>200</v>
      </c>
      <c r="H200" s="55">
        <v>140.47999999999999</v>
      </c>
      <c r="I200" s="55">
        <v>0.01</v>
      </c>
      <c r="J200" s="55">
        <v>0.05</v>
      </c>
      <c r="K200" s="55">
        <v>0</v>
      </c>
      <c r="L200" s="55">
        <v>0.02</v>
      </c>
    </row>
    <row r="201" spans="1:12">
      <c r="A201" s="55">
        <v>194</v>
      </c>
      <c r="B201" s="55" t="s">
        <v>192</v>
      </c>
      <c r="C201" s="55">
        <v>18</v>
      </c>
      <c r="D201" s="55">
        <v>9</v>
      </c>
      <c r="E201" s="55">
        <v>100</v>
      </c>
      <c r="F201" s="55">
        <v>172</v>
      </c>
      <c r="G201" s="55">
        <v>100</v>
      </c>
      <c r="H201" s="55">
        <v>-41.86</v>
      </c>
      <c r="I201" s="55">
        <v>0.06</v>
      </c>
      <c r="J201" s="55">
        <v>0.05</v>
      </c>
      <c r="K201" s="55">
        <v>0.04</v>
      </c>
      <c r="L201" s="55">
        <v>0.08</v>
      </c>
    </row>
    <row r="202" spans="1:12">
      <c r="A202" s="55">
        <v>195</v>
      </c>
      <c r="B202" s="55" t="s">
        <v>387</v>
      </c>
      <c r="C202" s="55">
        <v>9</v>
      </c>
      <c r="D202" s="55">
        <v>6</v>
      </c>
      <c r="E202" s="55">
        <v>100</v>
      </c>
      <c r="F202" s="55">
        <v>120</v>
      </c>
      <c r="G202" s="55">
        <v>50</v>
      </c>
      <c r="H202" s="55">
        <v>-16.670000000000002</v>
      </c>
      <c r="I202" s="55">
        <v>0.03</v>
      </c>
      <c r="J202" s="55">
        <v>0.05</v>
      </c>
      <c r="K202" s="55">
        <v>0.03</v>
      </c>
      <c r="L202" s="55">
        <v>0.06</v>
      </c>
    </row>
    <row r="203" spans="1:12">
      <c r="A203" s="55">
        <v>196</v>
      </c>
      <c r="B203" s="55" t="s">
        <v>1232</v>
      </c>
      <c r="C203" s="55">
        <v>14</v>
      </c>
      <c r="D203" s="55">
        <v>0</v>
      </c>
      <c r="E203" s="55">
        <v>100</v>
      </c>
      <c r="F203" s="55">
        <v>0</v>
      </c>
      <c r="G203" s="55">
        <v>0</v>
      </c>
      <c r="H203" s="55">
        <v>0</v>
      </c>
      <c r="I203" s="55">
        <v>0.05</v>
      </c>
      <c r="J203" s="55">
        <v>0.05</v>
      </c>
      <c r="K203" s="55">
        <v>0</v>
      </c>
      <c r="L203" s="55">
        <v>0</v>
      </c>
    </row>
    <row r="204" spans="1:12">
      <c r="A204" s="55">
        <v>197</v>
      </c>
      <c r="B204" s="55" t="s">
        <v>665</v>
      </c>
      <c r="C204" s="55">
        <v>9</v>
      </c>
      <c r="D204" s="55">
        <v>9</v>
      </c>
      <c r="E204" s="55">
        <v>98</v>
      </c>
      <c r="F204" s="55">
        <v>22</v>
      </c>
      <c r="G204" s="55">
        <v>0</v>
      </c>
      <c r="H204" s="55">
        <v>345.45</v>
      </c>
      <c r="I204" s="55">
        <v>0.03</v>
      </c>
      <c r="J204" s="55">
        <v>0.05</v>
      </c>
      <c r="K204" s="55">
        <v>0.04</v>
      </c>
      <c r="L204" s="55">
        <v>0.01</v>
      </c>
    </row>
    <row r="205" spans="1:12">
      <c r="A205" s="55">
        <v>198</v>
      </c>
      <c r="B205" s="55" t="s">
        <v>185</v>
      </c>
      <c r="C205" s="55">
        <v>11</v>
      </c>
      <c r="D205" s="55">
        <v>3</v>
      </c>
      <c r="E205" s="55">
        <v>97</v>
      </c>
      <c r="F205" s="55">
        <v>62</v>
      </c>
      <c r="G205" s="55">
        <v>266.67</v>
      </c>
      <c r="H205" s="55">
        <v>56.45</v>
      </c>
      <c r="I205" s="55">
        <v>0.04</v>
      </c>
      <c r="J205" s="55">
        <v>0.05</v>
      </c>
      <c r="K205" s="55">
        <v>0.01</v>
      </c>
      <c r="L205" s="55">
        <v>0.03</v>
      </c>
    </row>
    <row r="206" spans="1:12">
      <c r="A206" s="55">
        <v>199</v>
      </c>
      <c r="B206" s="55" t="s">
        <v>114</v>
      </c>
      <c r="C206" s="55">
        <v>20</v>
      </c>
      <c r="D206" s="55">
        <v>21</v>
      </c>
      <c r="E206" s="55">
        <v>93</v>
      </c>
      <c r="F206" s="55">
        <v>57</v>
      </c>
      <c r="G206" s="55">
        <v>-4.76</v>
      </c>
      <c r="H206" s="55">
        <v>63.16</v>
      </c>
      <c r="I206" s="55">
        <v>7.0000000000000007E-2</v>
      </c>
      <c r="J206" s="55">
        <v>0.04</v>
      </c>
      <c r="K206" s="55">
        <v>0.1</v>
      </c>
      <c r="L206" s="55">
        <v>0.03</v>
      </c>
    </row>
    <row r="207" spans="1:12">
      <c r="A207" s="55">
        <v>200</v>
      </c>
      <c r="B207" s="55" t="s">
        <v>1175</v>
      </c>
      <c r="C207" s="55">
        <v>9</v>
      </c>
      <c r="D207" s="55">
        <v>0</v>
      </c>
      <c r="E207" s="55">
        <v>91</v>
      </c>
      <c r="F207" s="55">
        <v>0</v>
      </c>
      <c r="G207" s="55">
        <v>0</v>
      </c>
      <c r="H207" s="55">
        <v>0</v>
      </c>
      <c r="I207" s="55">
        <v>0.03</v>
      </c>
      <c r="J207" s="55">
        <v>0.04</v>
      </c>
      <c r="K207" s="55">
        <v>0</v>
      </c>
      <c r="L207" s="55">
        <v>0</v>
      </c>
    </row>
    <row r="208" spans="1:12">
      <c r="A208" s="55">
        <v>201</v>
      </c>
      <c r="B208" s="55" t="s">
        <v>201</v>
      </c>
      <c r="C208" s="55">
        <v>12</v>
      </c>
      <c r="D208" s="55">
        <v>12</v>
      </c>
      <c r="E208" s="55">
        <v>90</v>
      </c>
      <c r="F208" s="55">
        <v>112</v>
      </c>
      <c r="G208" s="55">
        <v>0</v>
      </c>
      <c r="H208" s="55">
        <v>-19.64</v>
      </c>
      <c r="I208" s="55">
        <v>0.04</v>
      </c>
      <c r="J208" s="55">
        <v>0.04</v>
      </c>
      <c r="K208" s="55">
        <v>0.05</v>
      </c>
      <c r="L208" s="55">
        <v>0.05</v>
      </c>
    </row>
    <row r="209" spans="1:12">
      <c r="A209" s="55">
        <v>202</v>
      </c>
      <c r="B209" s="55" t="s">
        <v>209</v>
      </c>
      <c r="C209" s="55">
        <v>7</v>
      </c>
      <c r="D209" s="55">
        <v>10</v>
      </c>
      <c r="E209" s="55">
        <v>90</v>
      </c>
      <c r="F209" s="55">
        <v>72</v>
      </c>
      <c r="G209" s="55">
        <v>-30</v>
      </c>
      <c r="H209" s="55">
        <v>25</v>
      </c>
      <c r="I209" s="55">
        <v>0.02</v>
      </c>
      <c r="J209" s="55">
        <v>0.04</v>
      </c>
      <c r="K209" s="55">
        <v>0.05</v>
      </c>
      <c r="L209" s="55">
        <v>0.04</v>
      </c>
    </row>
    <row r="210" spans="1:12">
      <c r="A210" s="55">
        <v>203</v>
      </c>
      <c r="B210" s="55" t="s">
        <v>425</v>
      </c>
      <c r="C210" s="55">
        <v>9</v>
      </c>
      <c r="D210" s="55">
        <v>7</v>
      </c>
      <c r="E210" s="55">
        <v>89</v>
      </c>
      <c r="F210" s="55">
        <v>108</v>
      </c>
      <c r="G210" s="55">
        <v>28.57</v>
      </c>
      <c r="H210" s="55">
        <v>-17.59</v>
      </c>
      <c r="I210" s="55">
        <v>0.03</v>
      </c>
      <c r="J210" s="55">
        <v>0.04</v>
      </c>
      <c r="K210" s="55">
        <v>0.03</v>
      </c>
      <c r="L210" s="55">
        <v>0.05</v>
      </c>
    </row>
    <row r="211" spans="1:12">
      <c r="A211" s="55">
        <v>204</v>
      </c>
      <c r="B211" s="55" t="s">
        <v>1149</v>
      </c>
      <c r="C211" s="55">
        <v>14</v>
      </c>
      <c r="D211" s="55">
        <v>0</v>
      </c>
      <c r="E211" s="55">
        <v>89</v>
      </c>
      <c r="F211" s="55">
        <v>0</v>
      </c>
      <c r="G211" s="55">
        <v>0</v>
      </c>
      <c r="H211" s="55">
        <v>0</v>
      </c>
      <c r="I211" s="55">
        <v>0.05</v>
      </c>
      <c r="J211" s="55">
        <v>0.04</v>
      </c>
      <c r="K211" s="55">
        <v>0</v>
      </c>
      <c r="L211" s="55">
        <v>0</v>
      </c>
    </row>
    <row r="212" spans="1:12">
      <c r="A212" s="55">
        <v>205</v>
      </c>
      <c r="B212" s="55" t="s">
        <v>634</v>
      </c>
      <c r="C212" s="55">
        <v>1</v>
      </c>
      <c r="D212" s="55">
        <v>166</v>
      </c>
      <c r="E212" s="55">
        <v>87</v>
      </c>
      <c r="F212" s="55">
        <v>1114</v>
      </c>
      <c r="G212" s="55">
        <v>-99.4</v>
      </c>
      <c r="H212" s="55">
        <v>-92.19</v>
      </c>
      <c r="I212" s="55">
        <v>0</v>
      </c>
      <c r="J212" s="55">
        <v>0.04</v>
      </c>
      <c r="K212" s="55">
        <v>0.75</v>
      </c>
      <c r="L212" s="55">
        <v>0.54</v>
      </c>
    </row>
    <row r="213" spans="1:12">
      <c r="A213" s="55">
        <v>206</v>
      </c>
      <c r="B213" s="55" t="s">
        <v>151</v>
      </c>
      <c r="C213" s="55">
        <v>2</v>
      </c>
      <c r="D213" s="55">
        <v>9</v>
      </c>
      <c r="E213" s="55">
        <v>86</v>
      </c>
      <c r="F213" s="55">
        <v>208</v>
      </c>
      <c r="G213" s="55">
        <v>-77.78</v>
      </c>
      <c r="H213" s="55">
        <v>-58.65</v>
      </c>
      <c r="I213" s="55">
        <v>0.01</v>
      </c>
      <c r="J213" s="55">
        <v>0.04</v>
      </c>
      <c r="K213" s="55">
        <v>0.04</v>
      </c>
      <c r="L213" s="55">
        <v>0.1</v>
      </c>
    </row>
    <row r="214" spans="1:12">
      <c r="A214" s="55">
        <v>207</v>
      </c>
      <c r="B214" s="55" t="s">
        <v>1130</v>
      </c>
      <c r="C214" s="55">
        <v>4</v>
      </c>
      <c r="D214" s="55">
        <v>0</v>
      </c>
      <c r="E214" s="55">
        <v>83</v>
      </c>
      <c r="F214" s="55">
        <v>0</v>
      </c>
      <c r="G214" s="55">
        <v>0</v>
      </c>
      <c r="H214" s="55">
        <v>0</v>
      </c>
      <c r="I214" s="55">
        <v>0.01</v>
      </c>
      <c r="J214" s="55">
        <v>0.04</v>
      </c>
      <c r="K214" s="55">
        <v>0</v>
      </c>
      <c r="L214" s="55">
        <v>0</v>
      </c>
    </row>
    <row r="215" spans="1:12">
      <c r="A215" s="55">
        <v>208</v>
      </c>
      <c r="B215" s="55" t="s">
        <v>182</v>
      </c>
      <c r="C215" s="55">
        <v>21</v>
      </c>
      <c r="D215" s="55">
        <v>10</v>
      </c>
      <c r="E215" s="55">
        <v>77</v>
      </c>
      <c r="F215" s="55">
        <v>86</v>
      </c>
      <c r="G215" s="55">
        <v>110</v>
      </c>
      <c r="H215" s="55">
        <v>-10.47</v>
      </c>
      <c r="I215" s="55">
        <v>7.0000000000000007E-2</v>
      </c>
      <c r="J215" s="55">
        <v>0.04</v>
      </c>
      <c r="K215" s="55">
        <v>0.05</v>
      </c>
      <c r="L215" s="55">
        <v>0.04</v>
      </c>
    </row>
    <row r="216" spans="1:12">
      <c r="A216" s="55">
        <v>209</v>
      </c>
      <c r="B216" s="55" t="s">
        <v>110</v>
      </c>
      <c r="C216" s="55">
        <v>19</v>
      </c>
      <c r="D216" s="55">
        <v>2</v>
      </c>
      <c r="E216" s="55">
        <v>77</v>
      </c>
      <c r="F216" s="55">
        <v>69</v>
      </c>
      <c r="G216" s="55">
        <v>850</v>
      </c>
      <c r="H216" s="55">
        <v>11.59</v>
      </c>
      <c r="I216" s="55">
        <v>7.0000000000000007E-2</v>
      </c>
      <c r="J216" s="55">
        <v>0.04</v>
      </c>
      <c r="K216" s="55">
        <v>0.01</v>
      </c>
      <c r="L216" s="55">
        <v>0.03</v>
      </c>
    </row>
    <row r="217" spans="1:12">
      <c r="A217" s="55">
        <v>210</v>
      </c>
      <c r="B217" s="55" t="s">
        <v>115</v>
      </c>
      <c r="C217" s="55">
        <v>18</v>
      </c>
      <c r="D217" s="55">
        <v>21</v>
      </c>
      <c r="E217" s="55">
        <v>76</v>
      </c>
      <c r="F217" s="55">
        <v>133</v>
      </c>
      <c r="G217" s="55">
        <v>-14.29</v>
      </c>
      <c r="H217" s="55">
        <v>-42.86</v>
      </c>
      <c r="I217" s="55">
        <v>0.06</v>
      </c>
      <c r="J217" s="55">
        <v>0.04</v>
      </c>
      <c r="K217" s="55">
        <v>0.1</v>
      </c>
      <c r="L217" s="55">
        <v>0.06</v>
      </c>
    </row>
    <row r="218" spans="1:12">
      <c r="A218" s="55">
        <v>211</v>
      </c>
      <c r="B218" s="55" t="s">
        <v>1059</v>
      </c>
      <c r="C218" s="55">
        <v>5</v>
      </c>
      <c r="D218" s="55">
        <v>0</v>
      </c>
      <c r="E218" s="55">
        <v>75</v>
      </c>
      <c r="F218" s="55">
        <v>0</v>
      </c>
      <c r="G218" s="55">
        <v>0</v>
      </c>
      <c r="H218" s="55">
        <v>0</v>
      </c>
      <c r="I218" s="55">
        <v>0.02</v>
      </c>
      <c r="J218" s="55">
        <v>0.04</v>
      </c>
      <c r="K218" s="55">
        <v>0</v>
      </c>
      <c r="L218" s="55">
        <v>0</v>
      </c>
    </row>
    <row r="219" spans="1:12">
      <c r="A219" s="55">
        <v>212</v>
      </c>
      <c r="B219" s="55" t="s">
        <v>206</v>
      </c>
      <c r="C219" s="55">
        <v>10</v>
      </c>
      <c r="D219" s="55">
        <v>5</v>
      </c>
      <c r="E219" s="55">
        <v>74</v>
      </c>
      <c r="F219" s="55">
        <v>95</v>
      </c>
      <c r="G219" s="55">
        <v>100</v>
      </c>
      <c r="H219" s="55">
        <v>-22.11</v>
      </c>
      <c r="I219" s="55">
        <v>0.04</v>
      </c>
      <c r="J219" s="55">
        <v>0.04</v>
      </c>
      <c r="K219" s="55">
        <v>0.02</v>
      </c>
      <c r="L219" s="55">
        <v>0.05</v>
      </c>
    </row>
    <row r="220" spans="1:12">
      <c r="A220" s="55">
        <v>213</v>
      </c>
      <c r="B220" s="55" t="s">
        <v>181</v>
      </c>
      <c r="C220" s="55">
        <v>0</v>
      </c>
      <c r="D220" s="55">
        <v>1</v>
      </c>
      <c r="E220" s="55">
        <v>71</v>
      </c>
      <c r="F220" s="55">
        <v>43</v>
      </c>
      <c r="G220" s="55">
        <v>-100</v>
      </c>
      <c r="H220" s="55">
        <v>65.12</v>
      </c>
      <c r="I220" s="55">
        <v>0</v>
      </c>
      <c r="J220" s="55">
        <v>0.03</v>
      </c>
      <c r="K220" s="55">
        <v>0</v>
      </c>
      <c r="L220" s="55">
        <v>0.02</v>
      </c>
    </row>
    <row r="221" spans="1:12">
      <c r="A221" s="55">
        <v>214</v>
      </c>
      <c r="B221" s="55" t="s">
        <v>420</v>
      </c>
      <c r="C221" s="55">
        <v>1</v>
      </c>
      <c r="D221" s="55">
        <v>154</v>
      </c>
      <c r="E221" s="55">
        <v>70</v>
      </c>
      <c r="F221" s="55">
        <v>973</v>
      </c>
      <c r="G221" s="55">
        <v>-99.35</v>
      </c>
      <c r="H221" s="55">
        <v>-92.81</v>
      </c>
      <c r="I221" s="55">
        <v>0</v>
      </c>
      <c r="J221" s="55">
        <v>0.03</v>
      </c>
      <c r="K221" s="55">
        <v>0.7</v>
      </c>
      <c r="L221" s="55">
        <v>0.48</v>
      </c>
    </row>
    <row r="222" spans="1:12">
      <c r="A222" s="55">
        <v>215</v>
      </c>
      <c r="B222" s="55" t="s">
        <v>214</v>
      </c>
      <c r="C222" s="55">
        <v>7</v>
      </c>
      <c r="D222" s="55">
        <v>10</v>
      </c>
      <c r="E222" s="55">
        <v>69</v>
      </c>
      <c r="F222" s="55">
        <v>36</v>
      </c>
      <c r="G222" s="55">
        <v>-30</v>
      </c>
      <c r="H222" s="55">
        <v>91.67</v>
      </c>
      <c r="I222" s="55">
        <v>0.02</v>
      </c>
      <c r="J222" s="55">
        <v>0.03</v>
      </c>
      <c r="K222" s="55">
        <v>0.05</v>
      </c>
      <c r="L222" s="55">
        <v>0.02</v>
      </c>
    </row>
    <row r="223" spans="1:12">
      <c r="A223" s="55">
        <v>216</v>
      </c>
      <c r="B223" s="55" t="s">
        <v>196</v>
      </c>
      <c r="C223" s="55">
        <v>6</v>
      </c>
      <c r="D223" s="55">
        <v>9</v>
      </c>
      <c r="E223" s="55">
        <v>64</v>
      </c>
      <c r="F223" s="55">
        <v>65</v>
      </c>
      <c r="G223" s="55">
        <v>-33.33</v>
      </c>
      <c r="H223" s="55">
        <v>-1.54</v>
      </c>
      <c r="I223" s="55">
        <v>0.02</v>
      </c>
      <c r="J223" s="55">
        <v>0.03</v>
      </c>
      <c r="K223" s="55">
        <v>0.04</v>
      </c>
      <c r="L223" s="55">
        <v>0.03</v>
      </c>
    </row>
    <row r="224" spans="1:12">
      <c r="A224" s="55">
        <v>217</v>
      </c>
      <c r="B224" s="55" t="s">
        <v>1011</v>
      </c>
      <c r="C224" s="55">
        <v>1</v>
      </c>
      <c r="D224" s="55">
        <v>0</v>
      </c>
      <c r="E224" s="55">
        <v>64</v>
      </c>
      <c r="F224" s="55">
        <v>0</v>
      </c>
      <c r="G224" s="55">
        <v>0</v>
      </c>
      <c r="H224" s="55">
        <v>0</v>
      </c>
      <c r="I224" s="55">
        <v>0</v>
      </c>
      <c r="J224" s="55">
        <v>0.03</v>
      </c>
      <c r="K224" s="55">
        <v>0</v>
      </c>
      <c r="L224" s="55">
        <v>0</v>
      </c>
    </row>
    <row r="225" spans="1:12">
      <c r="A225" s="55">
        <v>218</v>
      </c>
      <c r="B225" s="55" t="s">
        <v>1176</v>
      </c>
      <c r="C225" s="55">
        <v>4</v>
      </c>
      <c r="D225" s="55">
        <v>0</v>
      </c>
      <c r="E225" s="55">
        <v>62</v>
      </c>
      <c r="F225" s="55">
        <v>0</v>
      </c>
      <c r="G225" s="55">
        <v>0</v>
      </c>
      <c r="H225" s="55">
        <v>0</v>
      </c>
      <c r="I225" s="55">
        <v>0.01</v>
      </c>
      <c r="J225" s="55">
        <v>0.03</v>
      </c>
      <c r="K225" s="55">
        <v>0</v>
      </c>
      <c r="L225" s="55">
        <v>0</v>
      </c>
    </row>
    <row r="226" spans="1:12">
      <c r="A226" s="55">
        <v>219</v>
      </c>
      <c r="B226" s="55" t="s">
        <v>1058</v>
      </c>
      <c r="C226" s="55">
        <v>22</v>
      </c>
      <c r="D226" s="55">
        <v>0</v>
      </c>
      <c r="E226" s="55">
        <v>59</v>
      </c>
      <c r="F226" s="55">
        <v>0</v>
      </c>
      <c r="G226" s="55">
        <v>0</v>
      </c>
      <c r="H226" s="55">
        <v>0</v>
      </c>
      <c r="I226" s="55">
        <v>0.08</v>
      </c>
      <c r="J226" s="55">
        <v>0.03</v>
      </c>
      <c r="K226" s="55">
        <v>0</v>
      </c>
      <c r="L226" s="55">
        <v>0</v>
      </c>
    </row>
    <row r="227" spans="1:12">
      <c r="A227" s="55">
        <v>220</v>
      </c>
      <c r="B227" s="55" t="s">
        <v>1080</v>
      </c>
      <c r="C227" s="55">
        <v>2</v>
      </c>
      <c r="D227" s="55">
        <v>0</v>
      </c>
      <c r="E227" s="55">
        <v>59</v>
      </c>
      <c r="F227" s="55">
        <v>0</v>
      </c>
      <c r="G227" s="55">
        <v>0</v>
      </c>
      <c r="H227" s="55">
        <v>0</v>
      </c>
      <c r="I227" s="55">
        <v>0.01</v>
      </c>
      <c r="J227" s="55">
        <v>0.03</v>
      </c>
      <c r="K227" s="55">
        <v>0</v>
      </c>
      <c r="L227" s="55">
        <v>0</v>
      </c>
    </row>
    <row r="228" spans="1:12">
      <c r="A228" s="55">
        <v>221</v>
      </c>
      <c r="B228" s="55" t="s">
        <v>166</v>
      </c>
      <c r="C228" s="55">
        <v>5</v>
      </c>
      <c r="D228" s="55">
        <v>5</v>
      </c>
      <c r="E228" s="55">
        <v>58</v>
      </c>
      <c r="F228" s="55">
        <v>59</v>
      </c>
      <c r="G228" s="55">
        <v>0</v>
      </c>
      <c r="H228" s="55">
        <v>-1.69</v>
      </c>
      <c r="I228" s="55">
        <v>0.02</v>
      </c>
      <c r="J228" s="55">
        <v>0.03</v>
      </c>
      <c r="K228" s="55">
        <v>0.02</v>
      </c>
      <c r="L228" s="55">
        <v>0.03</v>
      </c>
    </row>
    <row r="229" spans="1:12">
      <c r="A229" s="55">
        <v>222</v>
      </c>
      <c r="B229" s="55" t="s">
        <v>164</v>
      </c>
      <c r="C229" s="55">
        <v>4</v>
      </c>
      <c r="D229" s="55">
        <v>3</v>
      </c>
      <c r="E229" s="55">
        <v>58</v>
      </c>
      <c r="F229" s="55">
        <v>35</v>
      </c>
      <c r="G229" s="55">
        <v>33.33</v>
      </c>
      <c r="H229" s="55">
        <v>65.709999999999994</v>
      </c>
      <c r="I229" s="55">
        <v>0.01</v>
      </c>
      <c r="J229" s="55">
        <v>0.03</v>
      </c>
      <c r="K229" s="55">
        <v>0.01</v>
      </c>
      <c r="L229" s="55">
        <v>0.02</v>
      </c>
    </row>
    <row r="230" spans="1:12">
      <c r="A230" s="55">
        <v>223</v>
      </c>
      <c r="B230" s="55" t="s">
        <v>1079</v>
      </c>
      <c r="C230" s="55">
        <v>8</v>
      </c>
      <c r="D230" s="55">
        <v>0</v>
      </c>
      <c r="E230" s="55">
        <v>58</v>
      </c>
      <c r="F230" s="55">
        <v>0</v>
      </c>
      <c r="G230" s="55">
        <v>0</v>
      </c>
      <c r="H230" s="55">
        <v>0</v>
      </c>
      <c r="I230" s="55">
        <v>0.03</v>
      </c>
      <c r="J230" s="55">
        <v>0.03</v>
      </c>
      <c r="K230" s="55">
        <v>0</v>
      </c>
      <c r="L230" s="55">
        <v>0</v>
      </c>
    </row>
    <row r="231" spans="1:12">
      <c r="A231" s="55">
        <v>224</v>
      </c>
      <c r="B231" s="55" t="s">
        <v>190</v>
      </c>
      <c r="C231" s="55">
        <v>5</v>
      </c>
      <c r="D231" s="55">
        <v>23</v>
      </c>
      <c r="E231" s="55">
        <v>57</v>
      </c>
      <c r="F231" s="55">
        <v>223</v>
      </c>
      <c r="G231" s="55">
        <v>-78.260000000000005</v>
      </c>
      <c r="H231" s="55">
        <v>-74.44</v>
      </c>
      <c r="I231" s="55">
        <v>0.02</v>
      </c>
      <c r="J231" s="55">
        <v>0.03</v>
      </c>
      <c r="K231" s="55">
        <v>0.1</v>
      </c>
      <c r="L231" s="55">
        <v>0.11</v>
      </c>
    </row>
    <row r="232" spans="1:12">
      <c r="A232" s="55">
        <v>225</v>
      </c>
      <c r="B232" s="55" t="s">
        <v>205</v>
      </c>
      <c r="C232" s="55">
        <v>24</v>
      </c>
      <c r="D232" s="55">
        <v>3</v>
      </c>
      <c r="E232" s="55">
        <v>57</v>
      </c>
      <c r="F232" s="55">
        <v>70</v>
      </c>
      <c r="G232" s="55">
        <v>700</v>
      </c>
      <c r="H232" s="55">
        <v>-18.57</v>
      </c>
      <c r="I232" s="55">
        <v>0.09</v>
      </c>
      <c r="J232" s="55">
        <v>0.03</v>
      </c>
      <c r="K232" s="55">
        <v>0.01</v>
      </c>
      <c r="L232" s="55">
        <v>0.03</v>
      </c>
    </row>
    <row r="233" spans="1:12">
      <c r="A233" s="55">
        <v>226</v>
      </c>
      <c r="B233" s="55" t="s">
        <v>1022</v>
      </c>
      <c r="C233" s="55">
        <v>1</v>
      </c>
      <c r="D233" s="55">
        <v>0</v>
      </c>
      <c r="E233" s="55">
        <v>57</v>
      </c>
      <c r="F233" s="55">
        <v>0</v>
      </c>
      <c r="G233" s="55">
        <v>0</v>
      </c>
      <c r="H233" s="55">
        <v>0</v>
      </c>
      <c r="I233" s="55">
        <v>0</v>
      </c>
      <c r="J233" s="55">
        <v>0.03</v>
      </c>
      <c r="K233" s="55">
        <v>0</v>
      </c>
      <c r="L233" s="55">
        <v>0</v>
      </c>
    </row>
    <row r="234" spans="1:12">
      <c r="A234" s="55">
        <v>227</v>
      </c>
      <c r="B234" s="55" t="s">
        <v>197</v>
      </c>
      <c r="C234" s="55">
        <v>2</v>
      </c>
      <c r="D234" s="55">
        <v>13</v>
      </c>
      <c r="E234" s="55">
        <v>49</v>
      </c>
      <c r="F234" s="55">
        <v>109</v>
      </c>
      <c r="G234" s="55">
        <v>-84.62</v>
      </c>
      <c r="H234" s="55">
        <v>-55.05</v>
      </c>
      <c r="I234" s="55">
        <v>0.01</v>
      </c>
      <c r="J234" s="55">
        <v>0.02</v>
      </c>
      <c r="K234" s="55">
        <v>0.06</v>
      </c>
      <c r="L234" s="55">
        <v>0.05</v>
      </c>
    </row>
    <row r="235" spans="1:12">
      <c r="A235" s="55">
        <v>228</v>
      </c>
      <c r="B235" s="55" t="s">
        <v>556</v>
      </c>
      <c r="C235" s="55">
        <v>4</v>
      </c>
      <c r="D235" s="55">
        <v>1</v>
      </c>
      <c r="E235" s="55">
        <v>48</v>
      </c>
      <c r="F235" s="55">
        <v>124</v>
      </c>
      <c r="G235" s="55">
        <v>300</v>
      </c>
      <c r="H235" s="55">
        <v>-61.29</v>
      </c>
      <c r="I235" s="55">
        <v>0.01</v>
      </c>
      <c r="J235" s="55">
        <v>0.02</v>
      </c>
      <c r="K235" s="55">
        <v>0</v>
      </c>
      <c r="L235" s="55">
        <v>0.06</v>
      </c>
    </row>
    <row r="236" spans="1:12">
      <c r="A236" s="55">
        <v>229</v>
      </c>
      <c r="B236" s="55" t="s">
        <v>219</v>
      </c>
      <c r="C236" s="55">
        <v>6</v>
      </c>
      <c r="D236" s="55">
        <v>6</v>
      </c>
      <c r="E236" s="55">
        <v>48</v>
      </c>
      <c r="F236" s="55">
        <v>51</v>
      </c>
      <c r="G236" s="55">
        <v>0</v>
      </c>
      <c r="H236" s="55">
        <v>-5.88</v>
      </c>
      <c r="I236" s="55">
        <v>0.02</v>
      </c>
      <c r="J236" s="55">
        <v>0.02</v>
      </c>
      <c r="K236" s="55">
        <v>0.03</v>
      </c>
      <c r="L236" s="55">
        <v>0.02</v>
      </c>
    </row>
    <row r="237" spans="1:12">
      <c r="A237" s="55">
        <v>230</v>
      </c>
      <c r="B237" s="55" t="s">
        <v>1214</v>
      </c>
      <c r="C237" s="55">
        <v>16</v>
      </c>
      <c r="D237" s="55">
        <v>0</v>
      </c>
      <c r="E237" s="55">
        <v>48</v>
      </c>
      <c r="F237" s="55">
        <v>0</v>
      </c>
      <c r="G237" s="55">
        <v>0</v>
      </c>
      <c r="H237" s="55">
        <v>0</v>
      </c>
      <c r="I237" s="55">
        <v>0.06</v>
      </c>
      <c r="J237" s="55">
        <v>0.02</v>
      </c>
      <c r="K237" s="55">
        <v>0</v>
      </c>
      <c r="L237" s="55">
        <v>0</v>
      </c>
    </row>
    <row r="238" spans="1:12">
      <c r="A238" s="55">
        <v>231</v>
      </c>
      <c r="B238" s="55" t="s">
        <v>215</v>
      </c>
      <c r="C238" s="55">
        <v>11</v>
      </c>
      <c r="D238" s="55">
        <v>16</v>
      </c>
      <c r="E238" s="55">
        <v>47</v>
      </c>
      <c r="F238" s="55">
        <v>116</v>
      </c>
      <c r="G238" s="55">
        <v>-31.25</v>
      </c>
      <c r="H238" s="55">
        <v>-59.48</v>
      </c>
      <c r="I238" s="55">
        <v>0.04</v>
      </c>
      <c r="J238" s="55">
        <v>0.02</v>
      </c>
      <c r="K238" s="55">
        <v>7.0000000000000007E-2</v>
      </c>
      <c r="L238" s="55">
        <v>0.06</v>
      </c>
    </row>
    <row r="239" spans="1:12">
      <c r="A239" s="55">
        <v>232</v>
      </c>
      <c r="B239" s="55" t="s">
        <v>195</v>
      </c>
      <c r="C239" s="55">
        <v>2</v>
      </c>
      <c r="D239" s="55">
        <v>2</v>
      </c>
      <c r="E239" s="55">
        <v>47</v>
      </c>
      <c r="F239" s="55">
        <v>35</v>
      </c>
      <c r="G239" s="55">
        <v>0</v>
      </c>
      <c r="H239" s="55">
        <v>34.29</v>
      </c>
      <c r="I239" s="55">
        <v>0.01</v>
      </c>
      <c r="J239" s="55">
        <v>0.02</v>
      </c>
      <c r="K239" s="55">
        <v>0.01</v>
      </c>
      <c r="L239" s="55">
        <v>0.02</v>
      </c>
    </row>
    <row r="240" spans="1:12">
      <c r="A240" s="55">
        <v>233</v>
      </c>
      <c r="B240" s="55" t="s">
        <v>183</v>
      </c>
      <c r="C240" s="55">
        <v>5</v>
      </c>
      <c r="D240" s="55">
        <v>6</v>
      </c>
      <c r="E240" s="55">
        <v>45</v>
      </c>
      <c r="F240" s="55">
        <v>58</v>
      </c>
      <c r="G240" s="55">
        <v>-16.670000000000002</v>
      </c>
      <c r="H240" s="55">
        <v>-22.41</v>
      </c>
      <c r="I240" s="55">
        <v>0.02</v>
      </c>
      <c r="J240" s="55">
        <v>0.02</v>
      </c>
      <c r="K240" s="55">
        <v>0.03</v>
      </c>
      <c r="L240" s="55">
        <v>0.03</v>
      </c>
    </row>
    <row r="241" spans="1:12">
      <c r="A241" s="55">
        <v>234</v>
      </c>
      <c r="B241" s="55" t="s">
        <v>663</v>
      </c>
      <c r="C241" s="55">
        <v>2</v>
      </c>
      <c r="D241" s="55">
        <v>2</v>
      </c>
      <c r="E241" s="55">
        <v>43</v>
      </c>
      <c r="F241" s="55">
        <v>40</v>
      </c>
      <c r="G241" s="55">
        <v>0</v>
      </c>
      <c r="H241" s="55">
        <v>7.5</v>
      </c>
      <c r="I241" s="55">
        <v>0.01</v>
      </c>
      <c r="J241" s="55">
        <v>0.02</v>
      </c>
      <c r="K241" s="55">
        <v>0.01</v>
      </c>
      <c r="L241" s="55">
        <v>0.02</v>
      </c>
    </row>
    <row r="242" spans="1:12">
      <c r="A242" s="55">
        <v>235</v>
      </c>
      <c r="B242" s="55" t="s">
        <v>203</v>
      </c>
      <c r="C242" s="55">
        <v>3</v>
      </c>
      <c r="D242" s="55">
        <v>1</v>
      </c>
      <c r="E242" s="55">
        <v>42</v>
      </c>
      <c r="F242" s="55">
        <v>42</v>
      </c>
      <c r="G242" s="55">
        <v>200</v>
      </c>
      <c r="H242" s="55">
        <v>0</v>
      </c>
      <c r="I242" s="55">
        <v>0.01</v>
      </c>
      <c r="J242" s="55">
        <v>0.02</v>
      </c>
      <c r="K242" s="55">
        <v>0</v>
      </c>
      <c r="L242" s="55">
        <v>0.02</v>
      </c>
    </row>
    <row r="243" spans="1:12">
      <c r="A243" s="55">
        <v>236</v>
      </c>
      <c r="B243" s="55" t="s">
        <v>107</v>
      </c>
      <c r="C243" s="55">
        <v>7</v>
      </c>
      <c r="D243" s="55">
        <v>11</v>
      </c>
      <c r="E243" s="55">
        <v>41</v>
      </c>
      <c r="F243" s="55">
        <v>174</v>
      </c>
      <c r="G243" s="55">
        <v>-36.36</v>
      </c>
      <c r="H243" s="55">
        <v>-76.44</v>
      </c>
      <c r="I243" s="55">
        <v>0.02</v>
      </c>
      <c r="J243" s="55">
        <v>0.02</v>
      </c>
      <c r="K243" s="55">
        <v>0.05</v>
      </c>
      <c r="L243" s="55">
        <v>0.09</v>
      </c>
    </row>
    <row r="244" spans="1:12">
      <c r="A244" s="55">
        <v>237</v>
      </c>
      <c r="B244" s="55" t="s">
        <v>160</v>
      </c>
      <c r="C244" s="55">
        <v>8</v>
      </c>
      <c r="D244" s="55">
        <v>50</v>
      </c>
      <c r="E244" s="55">
        <v>41</v>
      </c>
      <c r="F244" s="55">
        <v>124</v>
      </c>
      <c r="G244" s="55">
        <v>-84</v>
      </c>
      <c r="H244" s="55">
        <v>-66.94</v>
      </c>
      <c r="I244" s="55">
        <v>0.03</v>
      </c>
      <c r="J244" s="55">
        <v>0.02</v>
      </c>
      <c r="K244" s="55">
        <v>0.23</v>
      </c>
      <c r="L244" s="55">
        <v>0.06</v>
      </c>
    </row>
    <row r="245" spans="1:12">
      <c r="A245" s="55">
        <v>238</v>
      </c>
      <c r="B245" s="55" t="s">
        <v>1263</v>
      </c>
      <c r="C245" s="55">
        <v>41</v>
      </c>
      <c r="D245" s="55">
        <v>0</v>
      </c>
      <c r="E245" s="55">
        <v>41</v>
      </c>
      <c r="F245" s="55">
        <v>0</v>
      </c>
      <c r="G245" s="55">
        <v>0</v>
      </c>
      <c r="H245" s="55">
        <v>0</v>
      </c>
      <c r="I245" s="55">
        <v>0.15</v>
      </c>
      <c r="J245" s="55">
        <v>0.02</v>
      </c>
      <c r="K245" s="55">
        <v>0</v>
      </c>
      <c r="L245" s="55">
        <v>0</v>
      </c>
    </row>
    <row r="246" spans="1:12">
      <c r="A246" s="55">
        <v>239</v>
      </c>
      <c r="B246" s="55" t="s">
        <v>703</v>
      </c>
      <c r="C246" s="55">
        <v>0</v>
      </c>
      <c r="D246" s="55">
        <v>2</v>
      </c>
      <c r="E246" s="55">
        <v>40</v>
      </c>
      <c r="F246" s="55">
        <v>12</v>
      </c>
      <c r="G246" s="55">
        <v>-100</v>
      </c>
      <c r="H246" s="55">
        <v>233.33</v>
      </c>
      <c r="I246" s="55">
        <v>0</v>
      </c>
      <c r="J246" s="55">
        <v>0.02</v>
      </c>
      <c r="K246" s="55">
        <v>0.01</v>
      </c>
      <c r="L246" s="55">
        <v>0.01</v>
      </c>
    </row>
    <row r="247" spans="1:12">
      <c r="A247" s="55">
        <v>240</v>
      </c>
      <c r="B247" s="55" t="s">
        <v>1153</v>
      </c>
      <c r="C247" s="55">
        <v>11</v>
      </c>
      <c r="D247" s="55">
        <v>0</v>
      </c>
      <c r="E247" s="55">
        <v>38</v>
      </c>
      <c r="F247" s="55">
        <v>3</v>
      </c>
      <c r="G247" s="55">
        <v>0</v>
      </c>
      <c r="H247" s="55">
        <v>1166.67</v>
      </c>
      <c r="I247" s="55">
        <v>0.04</v>
      </c>
      <c r="J247" s="55">
        <v>0.02</v>
      </c>
      <c r="K247" s="55">
        <v>0</v>
      </c>
      <c r="L247" s="55">
        <v>0</v>
      </c>
    </row>
    <row r="248" spans="1:12">
      <c r="A248" s="55">
        <v>241</v>
      </c>
      <c r="B248" s="55" t="s">
        <v>1076</v>
      </c>
      <c r="C248" s="55">
        <v>3</v>
      </c>
      <c r="D248" s="55">
        <v>0</v>
      </c>
      <c r="E248" s="55">
        <v>38</v>
      </c>
      <c r="F248" s="55">
        <v>0</v>
      </c>
      <c r="G248" s="55">
        <v>0</v>
      </c>
      <c r="H248" s="55">
        <v>0</v>
      </c>
      <c r="I248" s="55">
        <v>0.01</v>
      </c>
      <c r="J248" s="55">
        <v>0.02</v>
      </c>
      <c r="K248" s="55">
        <v>0</v>
      </c>
      <c r="L248" s="55">
        <v>0</v>
      </c>
    </row>
    <row r="249" spans="1:12">
      <c r="A249" s="55">
        <v>242</v>
      </c>
      <c r="B249" s="55" t="s">
        <v>211</v>
      </c>
      <c r="C249" s="55">
        <v>9</v>
      </c>
      <c r="D249" s="55">
        <v>3</v>
      </c>
      <c r="E249" s="55">
        <v>37</v>
      </c>
      <c r="F249" s="55">
        <v>33</v>
      </c>
      <c r="G249" s="55">
        <v>200</v>
      </c>
      <c r="H249" s="55">
        <v>12.12</v>
      </c>
      <c r="I249" s="55">
        <v>0.03</v>
      </c>
      <c r="J249" s="55">
        <v>0.02</v>
      </c>
      <c r="K249" s="55">
        <v>0.01</v>
      </c>
      <c r="L249" s="55">
        <v>0.02</v>
      </c>
    </row>
    <row r="250" spans="1:12">
      <c r="A250" s="55">
        <v>243</v>
      </c>
      <c r="B250" s="55" t="s">
        <v>702</v>
      </c>
      <c r="C250" s="55">
        <v>1</v>
      </c>
      <c r="D250" s="55">
        <v>4</v>
      </c>
      <c r="E250" s="55">
        <v>36</v>
      </c>
      <c r="F250" s="55">
        <v>113</v>
      </c>
      <c r="G250" s="55">
        <v>-75</v>
      </c>
      <c r="H250" s="55">
        <v>-68.14</v>
      </c>
      <c r="I250" s="55">
        <v>0</v>
      </c>
      <c r="J250" s="55">
        <v>0.02</v>
      </c>
      <c r="K250" s="55">
        <v>0.02</v>
      </c>
      <c r="L250" s="55">
        <v>0.06</v>
      </c>
    </row>
    <row r="251" spans="1:12">
      <c r="A251" s="55">
        <v>244</v>
      </c>
      <c r="B251" s="55" t="s">
        <v>173</v>
      </c>
      <c r="C251" s="55">
        <v>0</v>
      </c>
      <c r="D251" s="55">
        <v>1</v>
      </c>
      <c r="E251" s="55">
        <v>36</v>
      </c>
      <c r="F251" s="55">
        <v>22</v>
      </c>
      <c r="G251" s="55">
        <v>-100</v>
      </c>
      <c r="H251" s="55">
        <v>63.64</v>
      </c>
      <c r="I251" s="55">
        <v>0</v>
      </c>
      <c r="J251" s="55">
        <v>0.02</v>
      </c>
      <c r="K251" s="55">
        <v>0</v>
      </c>
      <c r="L251" s="55">
        <v>0.01</v>
      </c>
    </row>
    <row r="252" spans="1:12">
      <c r="A252" s="55">
        <v>245</v>
      </c>
      <c r="B252" s="55" t="s">
        <v>179</v>
      </c>
      <c r="C252" s="55">
        <v>0</v>
      </c>
      <c r="D252" s="55">
        <v>18</v>
      </c>
      <c r="E252" s="55">
        <v>35</v>
      </c>
      <c r="F252" s="55">
        <v>86</v>
      </c>
      <c r="G252" s="55">
        <v>-100</v>
      </c>
      <c r="H252" s="55">
        <v>-59.3</v>
      </c>
      <c r="I252" s="55">
        <v>0</v>
      </c>
      <c r="J252" s="55">
        <v>0.02</v>
      </c>
      <c r="K252" s="55">
        <v>0.08</v>
      </c>
      <c r="L252" s="55">
        <v>0.04</v>
      </c>
    </row>
    <row r="253" spans="1:12">
      <c r="A253" s="55">
        <v>246</v>
      </c>
      <c r="B253" s="55" t="s">
        <v>216</v>
      </c>
      <c r="C253" s="55">
        <v>4</v>
      </c>
      <c r="D253" s="55">
        <v>2</v>
      </c>
      <c r="E253" s="55">
        <v>35</v>
      </c>
      <c r="F253" s="55">
        <v>42</v>
      </c>
      <c r="G253" s="55">
        <v>100</v>
      </c>
      <c r="H253" s="55">
        <v>-16.670000000000002</v>
      </c>
      <c r="I253" s="55">
        <v>0.01</v>
      </c>
      <c r="J253" s="55">
        <v>0.02</v>
      </c>
      <c r="K253" s="55">
        <v>0.01</v>
      </c>
      <c r="L253" s="55">
        <v>0.02</v>
      </c>
    </row>
    <row r="254" spans="1:12">
      <c r="A254" s="55">
        <v>247</v>
      </c>
      <c r="B254" s="55" t="s">
        <v>379</v>
      </c>
      <c r="C254" s="55">
        <v>0</v>
      </c>
      <c r="D254" s="55">
        <v>9</v>
      </c>
      <c r="E254" s="55">
        <v>35</v>
      </c>
      <c r="F254" s="55">
        <v>29</v>
      </c>
      <c r="G254" s="55">
        <v>-100</v>
      </c>
      <c r="H254" s="55">
        <v>20.69</v>
      </c>
      <c r="I254" s="55">
        <v>0</v>
      </c>
      <c r="J254" s="55">
        <v>0.02</v>
      </c>
      <c r="K254" s="55">
        <v>0.04</v>
      </c>
      <c r="L254" s="55">
        <v>0.01</v>
      </c>
    </row>
    <row r="255" spans="1:12">
      <c r="A255" s="55">
        <v>248</v>
      </c>
      <c r="B255" s="55" t="s">
        <v>1077</v>
      </c>
      <c r="C255" s="55">
        <v>0</v>
      </c>
      <c r="D255" s="55">
        <v>1</v>
      </c>
      <c r="E255" s="55">
        <v>35</v>
      </c>
      <c r="F255" s="55">
        <v>26</v>
      </c>
      <c r="G255" s="55">
        <v>-100</v>
      </c>
      <c r="H255" s="55">
        <v>34.619999999999997</v>
      </c>
      <c r="I255" s="55">
        <v>0</v>
      </c>
      <c r="J255" s="55">
        <v>0.02</v>
      </c>
      <c r="K255" s="55">
        <v>0</v>
      </c>
      <c r="L255" s="55">
        <v>0.01</v>
      </c>
    </row>
    <row r="256" spans="1:12">
      <c r="A256" s="55">
        <v>249</v>
      </c>
      <c r="B256" s="55" t="s">
        <v>210</v>
      </c>
      <c r="C256" s="55">
        <v>4</v>
      </c>
      <c r="D256" s="55">
        <v>1</v>
      </c>
      <c r="E256" s="55">
        <v>34</v>
      </c>
      <c r="F256" s="55">
        <v>34</v>
      </c>
      <c r="G256" s="55">
        <v>300</v>
      </c>
      <c r="H256" s="55">
        <v>0</v>
      </c>
      <c r="I256" s="55">
        <v>0.01</v>
      </c>
      <c r="J256" s="55">
        <v>0.02</v>
      </c>
      <c r="K256" s="55">
        <v>0</v>
      </c>
      <c r="L256" s="55">
        <v>0.02</v>
      </c>
    </row>
    <row r="257" spans="1:12">
      <c r="A257" s="55">
        <v>250</v>
      </c>
      <c r="B257" s="55" t="s">
        <v>106</v>
      </c>
      <c r="C257" s="55">
        <v>0</v>
      </c>
      <c r="D257" s="55">
        <v>68</v>
      </c>
      <c r="E257" s="55">
        <v>33</v>
      </c>
      <c r="F257" s="55">
        <v>296</v>
      </c>
      <c r="G257" s="55">
        <v>-100</v>
      </c>
      <c r="H257" s="55">
        <v>-88.85</v>
      </c>
      <c r="I257" s="55">
        <v>0</v>
      </c>
      <c r="J257" s="55">
        <v>0.02</v>
      </c>
      <c r="K257" s="55">
        <v>0.31</v>
      </c>
      <c r="L257" s="55">
        <v>0.14000000000000001</v>
      </c>
    </row>
    <row r="258" spans="1:12">
      <c r="A258" s="55">
        <v>251</v>
      </c>
      <c r="B258" s="55" t="s">
        <v>685</v>
      </c>
      <c r="C258" s="55">
        <v>4</v>
      </c>
      <c r="D258" s="55">
        <v>6</v>
      </c>
      <c r="E258" s="55">
        <v>32</v>
      </c>
      <c r="F258" s="55">
        <v>26</v>
      </c>
      <c r="G258" s="55">
        <v>-33.33</v>
      </c>
      <c r="H258" s="55">
        <v>23.08</v>
      </c>
      <c r="I258" s="55">
        <v>0.01</v>
      </c>
      <c r="J258" s="55">
        <v>0.02</v>
      </c>
      <c r="K258" s="55">
        <v>0.03</v>
      </c>
      <c r="L258" s="55">
        <v>0.01</v>
      </c>
    </row>
    <row r="259" spans="1:12">
      <c r="A259" s="55">
        <v>252</v>
      </c>
      <c r="B259" s="55" t="s">
        <v>1213</v>
      </c>
      <c r="C259" s="55">
        <v>8</v>
      </c>
      <c r="D259" s="55">
        <v>0</v>
      </c>
      <c r="E259" s="55">
        <v>32</v>
      </c>
      <c r="F259" s="55">
        <v>0</v>
      </c>
      <c r="G259" s="55">
        <v>0</v>
      </c>
      <c r="H259" s="55">
        <v>0</v>
      </c>
      <c r="I259" s="55">
        <v>0.03</v>
      </c>
      <c r="J259" s="55">
        <v>0.02</v>
      </c>
      <c r="K259" s="55">
        <v>0</v>
      </c>
      <c r="L259" s="55">
        <v>0</v>
      </c>
    </row>
    <row r="260" spans="1:12">
      <c r="A260" s="55">
        <v>253</v>
      </c>
      <c r="B260" s="55" t="s">
        <v>200</v>
      </c>
      <c r="C260" s="55">
        <v>2</v>
      </c>
      <c r="D260" s="55">
        <v>1</v>
      </c>
      <c r="E260" s="55">
        <v>30</v>
      </c>
      <c r="F260" s="55">
        <v>41</v>
      </c>
      <c r="G260" s="55">
        <v>100</v>
      </c>
      <c r="H260" s="55">
        <v>-26.83</v>
      </c>
      <c r="I260" s="55">
        <v>0.01</v>
      </c>
      <c r="J260" s="55">
        <v>0.01</v>
      </c>
      <c r="K260" s="55">
        <v>0</v>
      </c>
      <c r="L260" s="55">
        <v>0.02</v>
      </c>
    </row>
    <row r="261" spans="1:12">
      <c r="A261" s="55">
        <v>254</v>
      </c>
      <c r="B261" s="55" t="s">
        <v>364</v>
      </c>
      <c r="C261" s="55">
        <v>2</v>
      </c>
      <c r="D261" s="55">
        <v>3</v>
      </c>
      <c r="E261" s="55">
        <v>30</v>
      </c>
      <c r="F261" s="55">
        <v>38</v>
      </c>
      <c r="G261" s="55">
        <v>-33.33</v>
      </c>
      <c r="H261" s="55">
        <v>-21.05</v>
      </c>
      <c r="I261" s="55">
        <v>0.01</v>
      </c>
      <c r="J261" s="55">
        <v>0.01</v>
      </c>
      <c r="K261" s="55">
        <v>0.01</v>
      </c>
      <c r="L261" s="55">
        <v>0.02</v>
      </c>
    </row>
    <row r="262" spans="1:12">
      <c r="A262" s="55">
        <v>255</v>
      </c>
      <c r="B262" s="55" t="s">
        <v>367</v>
      </c>
      <c r="C262" s="55">
        <v>1</v>
      </c>
      <c r="D262" s="55">
        <v>2</v>
      </c>
      <c r="E262" s="55">
        <v>30</v>
      </c>
      <c r="F262" s="55">
        <v>18</v>
      </c>
      <c r="G262" s="55">
        <v>-50</v>
      </c>
      <c r="H262" s="55">
        <v>66.67</v>
      </c>
      <c r="I262" s="55">
        <v>0</v>
      </c>
      <c r="J262" s="55">
        <v>0.01</v>
      </c>
      <c r="K262" s="55">
        <v>0.01</v>
      </c>
      <c r="L262" s="55">
        <v>0.01</v>
      </c>
    </row>
    <row r="263" spans="1:12">
      <c r="A263" s="55">
        <v>256</v>
      </c>
      <c r="B263" s="55" t="s">
        <v>1128</v>
      </c>
      <c r="C263" s="55">
        <v>3</v>
      </c>
      <c r="D263" s="55">
        <v>0</v>
      </c>
      <c r="E263" s="55">
        <v>30</v>
      </c>
      <c r="F263" s="55">
        <v>0</v>
      </c>
      <c r="G263" s="55">
        <v>0</v>
      </c>
      <c r="H263" s="55">
        <v>0</v>
      </c>
      <c r="I263" s="55">
        <v>0.01</v>
      </c>
      <c r="J263" s="55">
        <v>0.01</v>
      </c>
      <c r="K263" s="55">
        <v>0</v>
      </c>
      <c r="L263" s="55">
        <v>0</v>
      </c>
    </row>
    <row r="264" spans="1:12">
      <c r="A264" s="55">
        <v>257</v>
      </c>
      <c r="B264" s="55" t="s">
        <v>138</v>
      </c>
      <c r="C264" s="55">
        <v>14</v>
      </c>
      <c r="D264" s="55">
        <v>9</v>
      </c>
      <c r="E264" s="55">
        <v>28</v>
      </c>
      <c r="F264" s="55">
        <v>146</v>
      </c>
      <c r="G264" s="55">
        <v>55.56</v>
      </c>
      <c r="H264" s="55">
        <v>-80.819999999999993</v>
      </c>
      <c r="I264" s="55">
        <v>0.05</v>
      </c>
      <c r="J264" s="55">
        <v>0.01</v>
      </c>
      <c r="K264" s="55">
        <v>0.04</v>
      </c>
      <c r="L264" s="55">
        <v>7.0000000000000007E-2</v>
      </c>
    </row>
    <row r="265" spans="1:12">
      <c r="A265" s="55">
        <v>258</v>
      </c>
      <c r="B265" s="55" t="s">
        <v>129</v>
      </c>
      <c r="C265" s="55">
        <v>3</v>
      </c>
      <c r="D265" s="55">
        <v>4</v>
      </c>
      <c r="E265" s="55">
        <v>28</v>
      </c>
      <c r="F265" s="55">
        <v>121</v>
      </c>
      <c r="G265" s="55">
        <v>-25</v>
      </c>
      <c r="H265" s="55">
        <v>-76.86</v>
      </c>
      <c r="I265" s="55">
        <v>0.01</v>
      </c>
      <c r="J265" s="55">
        <v>0.01</v>
      </c>
      <c r="K265" s="55">
        <v>0.02</v>
      </c>
      <c r="L265" s="55">
        <v>0.06</v>
      </c>
    </row>
    <row r="266" spans="1:12">
      <c r="A266" s="55">
        <v>259</v>
      </c>
      <c r="B266" s="55" t="s">
        <v>1234</v>
      </c>
      <c r="C266" s="55">
        <v>16</v>
      </c>
      <c r="D266" s="55">
        <v>0</v>
      </c>
      <c r="E266" s="55">
        <v>28</v>
      </c>
      <c r="F266" s="55">
        <v>0</v>
      </c>
      <c r="G266" s="55">
        <v>0</v>
      </c>
      <c r="H266" s="55">
        <v>0</v>
      </c>
      <c r="I266" s="55">
        <v>0.06</v>
      </c>
      <c r="J266" s="55">
        <v>0.01</v>
      </c>
      <c r="K266" s="55">
        <v>0</v>
      </c>
      <c r="L266" s="55">
        <v>0</v>
      </c>
    </row>
    <row r="267" spans="1:12">
      <c r="A267" s="55">
        <v>260</v>
      </c>
      <c r="B267" s="55" t="s">
        <v>434</v>
      </c>
      <c r="C267" s="55">
        <v>2</v>
      </c>
      <c r="D267" s="55">
        <v>5</v>
      </c>
      <c r="E267" s="55">
        <v>26</v>
      </c>
      <c r="F267" s="55">
        <v>86</v>
      </c>
      <c r="G267" s="62">
        <v>-60</v>
      </c>
      <c r="H267" s="62">
        <v>-69.77</v>
      </c>
      <c r="I267" s="55">
        <v>0.01</v>
      </c>
      <c r="J267" s="55">
        <v>0.01</v>
      </c>
      <c r="K267" s="55">
        <v>0.02</v>
      </c>
      <c r="L267" s="55">
        <v>0.04</v>
      </c>
    </row>
    <row r="268" spans="1:12">
      <c r="A268" s="55">
        <v>261</v>
      </c>
      <c r="B268" s="55" t="s">
        <v>1008</v>
      </c>
      <c r="C268" s="55">
        <v>6</v>
      </c>
      <c r="D268" s="55">
        <v>0</v>
      </c>
      <c r="E268" s="55">
        <v>26</v>
      </c>
      <c r="F268" s="55">
        <v>0</v>
      </c>
      <c r="G268" s="55">
        <v>0</v>
      </c>
      <c r="H268" s="55">
        <v>0</v>
      </c>
      <c r="I268" s="55">
        <v>0.02</v>
      </c>
      <c r="J268" s="55">
        <v>0.01</v>
      </c>
      <c r="K268" s="55">
        <v>0</v>
      </c>
      <c r="L268" s="55">
        <v>0</v>
      </c>
    </row>
    <row r="269" spans="1:12">
      <c r="A269" s="55">
        <v>262</v>
      </c>
      <c r="B269" s="55" t="s">
        <v>605</v>
      </c>
      <c r="C269" s="55">
        <v>0</v>
      </c>
      <c r="D269" s="55">
        <v>38</v>
      </c>
      <c r="E269" s="55">
        <v>23</v>
      </c>
      <c r="F269" s="55">
        <v>179</v>
      </c>
      <c r="G269" s="55">
        <v>-100</v>
      </c>
      <c r="H269" s="55">
        <v>-87.15</v>
      </c>
      <c r="I269" s="55">
        <v>0</v>
      </c>
      <c r="J269" s="55">
        <v>0.01</v>
      </c>
      <c r="K269" s="55">
        <v>0.17</v>
      </c>
      <c r="L269" s="55">
        <v>0.09</v>
      </c>
    </row>
    <row r="270" spans="1:12">
      <c r="A270" s="55">
        <v>263</v>
      </c>
      <c r="B270" s="55" t="s">
        <v>171</v>
      </c>
      <c r="C270" s="55">
        <v>2</v>
      </c>
      <c r="D270" s="55">
        <v>2</v>
      </c>
      <c r="E270" s="55">
        <v>23</v>
      </c>
      <c r="F270" s="55">
        <v>57</v>
      </c>
      <c r="G270" s="55">
        <v>0</v>
      </c>
      <c r="H270" s="55">
        <v>-59.65</v>
      </c>
      <c r="I270" s="55">
        <v>0.01</v>
      </c>
      <c r="J270" s="55">
        <v>0.01</v>
      </c>
      <c r="K270" s="55">
        <v>0.01</v>
      </c>
      <c r="L270" s="55">
        <v>0.03</v>
      </c>
    </row>
    <row r="271" spans="1:12">
      <c r="A271" s="55">
        <v>264</v>
      </c>
      <c r="B271" s="55" t="s">
        <v>184</v>
      </c>
      <c r="C271" s="55">
        <v>0</v>
      </c>
      <c r="D271" s="55">
        <v>1</v>
      </c>
      <c r="E271" s="55">
        <v>22</v>
      </c>
      <c r="F271" s="55">
        <v>65</v>
      </c>
      <c r="G271" s="55">
        <v>-100</v>
      </c>
      <c r="H271" s="55">
        <v>-66.150000000000006</v>
      </c>
      <c r="I271" s="55">
        <v>0</v>
      </c>
      <c r="J271" s="55">
        <v>0.01</v>
      </c>
      <c r="K271" s="55">
        <v>0</v>
      </c>
      <c r="L271" s="55">
        <v>0.03</v>
      </c>
    </row>
    <row r="272" spans="1:12">
      <c r="A272" s="55">
        <v>265</v>
      </c>
      <c r="B272" s="55" t="s">
        <v>177</v>
      </c>
      <c r="C272" s="55">
        <v>1</v>
      </c>
      <c r="D272" s="55">
        <v>0</v>
      </c>
      <c r="E272" s="55">
        <v>22</v>
      </c>
      <c r="F272" s="55">
        <v>47</v>
      </c>
      <c r="G272" s="55">
        <v>0</v>
      </c>
      <c r="H272" s="55">
        <v>-53.19</v>
      </c>
      <c r="I272" s="55">
        <v>0</v>
      </c>
      <c r="J272" s="55">
        <v>0.01</v>
      </c>
      <c r="K272" s="55">
        <v>0</v>
      </c>
      <c r="L272" s="55">
        <v>0.02</v>
      </c>
    </row>
    <row r="273" spans="1:12">
      <c r="A273" s="55">
        <v>266</v>
      </c>
      <c r="B273" s="55" t="s">
        <v>91</v>
      </c>
      <c r="C273" s="55">
        <v>0</v>
      </c>
      <c r="D273" s="55">
        <v>61</v>
      </c>
      <c r="E273" s="55">
        <v>20</v>
      </c>
      <c r="F273" s="55">
        <v>499</v>
      </c>
      <c r="G273" s="55">
        <v>-100</v>
      </c>
      <c r="H273" s="55">
        <v>-95.99</v>
      </c>
      <c r="I273" s="55">
        <v>0</v>
      </c>
      <c r="J273" s="55">
        <v>0.01</v>
      </c>
      <c r="K273" s="55">
        <v>0.28000000000000003</v>
      </c>
      <c r="L273" s="55">
        <v>0.24</v>
      </c>
    </row>
    <row r="274" spans="1:12">
      <c r="A274" s="55">
        <v>267</v>
      </c>
      <c r="B274" s="55" t="s">
        <v>366</v>
      </c>
      <c r="C274" s="55">
        <v>2</v>
      </c>
      <c r="D274" s="55">
        <v>5</v>
      </c>
      <c r="E274" s="55">
        <v>20</v>
      </c>
      <c r="F274" s="55">
        <v>26</v>
      </c>
      <c r="G274" s="62">
        <v>-60</v>
      </c>
      <c r="H274" s="55">
        <v>-23.08</v>
      </c>
      <c r="I274" s="55">
        <v>0.01</v>
      </c>
      <c r="J274" s="55">
        <v>0.01</v>
      </c>
      <c r="K274" s="55">
        <v>0.02</v>
      </c>
      <c r="L274" s="55">
        <v>0.01</v>
      </c>
    </row>
    <row r="275" spans="1:12">
      <c r="A275" s="55">
        <v>268</v>
      </c>
      <c r="B275" s="55" t="s">
        <v>1264</v>
      </c>
      <c r="C275" s="22">
        <v>19</v>
      </c>
      <c r="D275" s="22">
        <v>0</v>
      </c>
      <c r="E275" s="22">
        <v>19</v>
      </c>
      <c r="F275" s="22">
        <v>0</v>
      </c>
      <c r="G275" s="62">
        <v>0</v>
      </c>
      <c r="H275" s="62">
        <v>0</v>
      </c>
      <c r="I275" s="55">
        <v>7.0000000000000007E-2</v>
      </c>
      <c r="J275" s="55">
        <v>0.01</v>
      </c>
      <c r="K275" s="55">
        <v>0</v>
      </c>
      <c r="L275" s="55">
        <v>0</v>
      </c>
    </row>
    <row r="276" spans="1:12">
      <c r="A276" s="55">
        <v>269</v>
      </c>
      <c r="B276" s="55" t="s">
        <v>213</v>
      </c>
      <c r="C276" s="22">
        <v>2</v>
      </c>
      <c r="D276" s="55">
        <v>2</v>
      </c>
      <c r="E276" s="22">
        <v>18</v>
      </c>
      <c r="F276" s="55">
        <v>19</v>
      </c>
      <c r="G276" s="55">
        <v>0</v>
      </c>
      <c r="H276" s="55">
        <v>-5.26</v>
      </c>
      <c r="I276" s="55">
        <v>0.01</v>
      </c>
      <c r="J276" s="55">
        <v>0.01</v>
      </c>
      <c r="K276" s="55">
        <v>0.01</v>
      </c>
      <c r="L276" s="55">
        <v>0.01</v>
      </c>
    </row>
    <row r="277" spans="1:12">
      <c r="A277" s="55">
        <v>270</v>
      </c>
      <c r="B277" s="55" t="s">
        <v>1084</v>
      </c>
      <c r="C277" s="55">
        <v>3</v>
      </c>
      <c r="D277" s="55">
        <v>0</v>
      </c>
      <c r="E277" s="55">
        <v>18</v>
      </c>
      <c r="F277" s="55">
        <v>0</v>
      </c>
      <c r="G277" s="55">
        <v>0</v>
      </c>
      <c r="H277" s="55">
        <v>0</v>
      </c>
      <c r="I277" s="55">
        <v>0.01</v>
      </c>
      <c r="J277" s="55">
        <v>0.01</v>
      </c>
      <c r="K277" s="55">
        <v>0</v>
      </c>
      <c r="L277" s="55">
        <v>0</v>
      </c>
    </row>
    <row r="278" spans="1:12">
      <c r="A278" s="55">
        <v>271</v>
      </c>
      <c r="B278" s="55" t="s">
        <v>1233</v>
      </c>
      <c r="C278" s="55">
        <v>2</v>
      </c>
      <c r="D278" s="55">
        <v>0</v>
      </c>
      <c r="E278" s="55">
        <v>18</v>
      </c>
      <c r="F278" s="55">
        <v>0</v>
      </c>
      <c r="G278" s="55">
        <v>0</v>
      </c>
      <c r="H278" s="55">
        <v>0</v>
      </c>
      <c r="I278" s="55">
        <v>0.01</v>
      </c>
      <c r="J278" s="55">
        <v>0.01</v>
      </c>
      <c r="K278" s="55">
        <v>0</v>
      </c>
      <c r="L278" s="55">
        <v>0</v>
      </c>
    </row>
    <row r="279" spans="1:12">
      <c r="A279" s="55">
        <v>272</v>
      </c>
      <c r="B279" s="55" t="s">
        <v>548</v>
      </c>
      <c r="C279" s="55">
        <v>0</v>
      </c>
      <c r="D279" s="55">
        <v>2</v>
      </c>
      <c r="E279" s="55">
        <v>17</v>
      </c>
      <c r="F279" s="55">
        <v>8</v>
      </c>
      <c r="G279" s="55">
        <v>-100</v>
      </c>
      <c r="H279" s="55">
        <v>112.5</v>
      </c>
      <c r="I279" s="55">
        <v>0</v>
      </c>
      <c r="J279" s="55">
        <v>0.01</v>
      </c>
      <c r="K279" s="55">
        <v>0.01</v>
      </c>
      <c r="L279" s="55">
        <v>0</v>
      </c>
    </row>
    <row r="280" spans="1:12">
      <c r="A280" s="55">
        <v>273</v>
      </c>
      <c r="B280" s="55" t="s">
        <v>981</v>
      </c>
      <c r="C280" s="55">
        <v>0</v>
      </c>
      <c r="D280" s="55">
        <v>3</v>
      </c>
      <c r="E280" s="55">
        <v>17</v>
      </c>
      <c r="F280" s="55">
        <v>5</v>
      </c>
      <c r="G280" s="55">
        <v>-100</v>
      </c>
      <c r="H280" s="55">
        <v>240</v>
      </c>
      <c r="I280" s="55">
        <v>0</v>
      </c>
      <c r="J280" s="55">
        <v>0.01</v>
      </c>
      <c r="K280" s="55">
        <v>0.01</v>
      </c>
      <c r="L280" s="55">
        <v>0</v>
      </c>
    </row>
    <row r="281" spans="1:12">
      <c r="A281" s="55">
        <v>274</v>
      </c>
      <c r="B281" s="55" t="s">
        <v>202</v>
      </c>
      <c r="C281" s="55">
        <v>0</v>
      </c>
      <c r="D281" s="55">
        <v>4</v>
      </c>
      <c r="E281" s="55">
        <v>16</v>
      </c>
      <c r="F281" s="55">
        <v>47</v>
      </c>
      <c r="G281" s="55">
        <v>-100</v>
      </c>
      <c r="H281" s="55">
        <v>-65.959999999999994</v>
      </c>
      <c r="I281" s="55">
        <v>0</v>
      </c>
      <c r="J281" s="55">
        <v>0.01</v>
      </c>
      <c r="K281" s="55">
        <v>0.02</v>
      </c>
      <c r="L281" s="55">
        <v>0.02</v>
      </c>
    </row>
    <row r="282" spans="1:12">
      <c r="A282" s="55">
        <v>275</v>
      </c>
      <c r="B282" s="55" t="s">
        <v>669</v>
      </c>
      <c r="C282" s="55">
        <v>4</v>
      </c>
      <c r="D282" s="55">
        <v>0</v>
      </c>
      <c r="E282" s="55">
        <v>16</v>
      </c>
      <c r="F282" s="55">
        <v>3</v>
      </c>
      <c r="G282" s="55">
        <v>0</v>
      </c>
      <c r="H282" s="55">
        <v>433.33</v>
      </c>
      <c r="I282" s="55">
        <v>0.01</v>
      </c>
      <c r="J282" s="55">
        <v>0.01</v>
      </c>
      <c r="K282" s="55">
        <v>0</v>
      </c>
      <c r="L282" s="55">
        <v>0</v>
      </c>
    </row>
    <row r="283" spans="1:12">
      <c r="A283" s="55">
        <v>276</v>
      </c>
      <c r="B283" s="55" t="s">
        <v>485</v>
      </c>
      <c r="C283" s="55">
        <v>0</v>
      </c>
      <c r="D283" s="55">
        <v>2</v>
      </c>
      <c r="E283" s="55">
        <v>15</v>
      </c>
      <c r="F283" s="55">
        <v>16</v>
      </c>
      <c r="G283" s="55">
        <v>-100</v>
      </c>
      <c r="H283" s="55">
        <v>-6.25</v>
      </c>
      <c r="I283" s="55">
        <v>0</v>
      </c>
      <c r="J283" s="55">
        <v>0.01</v>
      </c>
      <c r="K283" s="55">
        <v>0.01</v>
      </c>
      <c r="L283" s="55">
        <v>0.01</v>
      </c>
    </row>
    <row r="284" spans="1:12">
      <c r="A284" s="55">
        <v>277</v>
      </c>
      <c r="B284" s="55" t="s">
        <v>121</v>
      </c>
      <c r="C284" s="55">
        <v>0</v>
      </c>
      <c r="D284" s="55">
        <v>3</v>
      </c>
      <c r="E284" s="55">
        <v>14</v>
      </c>
      <c r="F284" s="55">
        <v>110</v>
      </c>
      <c r="G284" s="55">
        <v>-100</v>
      </c>
      <c r="H284" s="55">
        <v>-87.27</v>
      </c>
      <c r="I284" s="55">
        <v>0</v>
      </c>
      <c r="J284" s="55">
        <v>0.01</v>
      </c>
      <c r="K284" s="55">
        <v>0.01</v>
      </c>
      <c r="L284" s="55">
        <v>0.05</v>
      </c>
    </row>
    <row r="285" spans="1:12">
      <c r="A285" s="55">
        <v>278</v>
      </c>
      <c r="B285" s="55" t="s">
        <v>386</v>
      </c>
      <c r="C285" s="55">
        <v>0</v>
      </c>
      <c r="D285" s="55">
        <v>0</v>
      </c>
      <c r="E285" s="55">
        <v>14</v>
      </c>
      <c r="F285" s="55">
        <v>85</v>
      </c>
      <c r="G285" s="62">
        <v>0</v>
      </c>
      <c r="H285" s="62">
        <v>-83.53</v>
      </c>
      <c r="I285" s="55">
        <v>0</v>
      </c>
      <c r="J285" s="55">
        <v>0.01</v>
      </c>
      <c r="K285" s="55">
        <v>0</v>
      </c>
      <c r="L285" s="55">
        <v>0.04</v>
      </c>
    </row>
    <row r="286" spans="1:12">
      <c r="A286" s="55">
        <v>279</v>
      </c>
      <c r="B286" s="55" t="s">
        <v>180</v>
      </c>
      <c r="C286" s="55">
        <v>2</v>
      </c>
      <c r="D286" s="55">
        <v>6</v>
      </c>
      <c r="E286" s="55">
        <v>14</v>
      </c>
      <c r="F286" s="55">
        <v>61</v>
      </c>
      <c r="G286" s="55">
        <v>-66.67</v>
      </c>
      <c r="H286" s="55">
        <v>-77.05</v>
      </c>
      <c r="I286" s="55">
        <v>0.01</v>
      </c>
      <c r="J286" s="55">
        <v>0.01</v>
      </c>
      <c r="K286" s="55">
        <v>0.03</v>
      </c>
      <c r="L286" s="55">
        <v>0.03</v>
      </c>
    </row>
    <row r="287" spans="1:12">
      <c r="A287" s="55">
        <v>280</v>
      </c>
      <c r="B287" s="55" t="s">
        <v>483</v>
      </c>
      <c r="C287" s="55">
        <v>0</v>
      </c>
      <c r="D287" s="55">
        <v>0</v>
      </c>
      <c r="E287" s="55">
        <v>14</v>
      </c>
      <c r="F287" s="55">
        <v>13</v>
      </c>
      <c r="G287" s="55">
        <v>0</v>
      </c>
      <c r="H287" s="55">
        <v>7.69</v>
      </c>
      <c r="I287" s="55">
        <v>0</v>
      </c>
      <c r="J287" s="55">
        <v>0.01</v>
      </c>
      <c r="K287" s="55">
        <v>0</v>
      </c>
      <c r="L287" s="55">
        <v>0.01</v>
      </c>
    </row>
    <row r="288" spans="1:12">
      <c r="A288" s="55">
        <v>281</v>
      </c>
      <c r="B288" s="55" t="s">
        <v>686</v>
      </c>
      <c r="C288" s="55">
        <v>0</v>
      </c>
      <c r="D288" s="55">
        <v>2</v>
      </c>
      <c r="E288" s="55">
        <v>14</v>
      </c>
      <c r="F288" s="55">
        <v>9</v>
      </c>
      <c r="G288" s="55">
        <v>-100</v>
      </c>
      <c r="H288" s="55">
        <v>55.56</v>
      </c>
      <c r="I288" s="55">
        <v>0</v>
      </c>
      <c r="J288" s="55">
        <v>0.01</v>
      </c>
      <c r="K288" s="55">
        <v>0.01</v>
      </c>
      <c r="L288" s="55">
        <v>0</v>
      </c>
    </row>
    <row r="289" spans="1:12">
      <c r="A289" s="55">
        <v>282</v>
      </c>
      <c r="B289" s="55" t="s">
        <v>668</v>
      </c>
      <c r="C289" s="55">
        <v>1</v>
      </c>
      <c r="D289" s="55">
        <v>1</v>
      </c>
      <c r="E289" s="55">
        <v>13</v>
      </c>
      <c r="F289" s="55">
        <v>8</v>
      </c>
      <c r="G289" s="55">
        <v>0</v>
      </c>
      <c r="H289" s="55">
        <v>62.5</v>
      </c>
      <c r="I289" s="55">
        <v>0</v>
      </c>
      <c r="J289" s="55">
        <v>0.01</v>
      </c>
      <c r="K289" s="55">
        <v>0</v>
      </c>
      <c r="L289" s="55">
        <v>0</v>
      </c>
    </row>
    <row r="290" spans="1:12">
      <c r="A290" s="55">
        <v>283</v>
      </c>
      <c r="B290" s="55" t="s">
        <v>220</v>
      </c>
      <c r="C290" s="55">
        <v>1</v>
      </c>
      <c r="D290" s="55">
        <v>0</v>
      </c>
      <c r="E290" s="55">
        <v>12</v>
      </c>
      <c r="F290" s="55">
        <v>11</v>
      </c>
      <c r="G290" s="55">
        <v>0</v>
      </c>
      <c r="H290" s="55">
        <v>9.09</v>
      </c>
      <c r="I290" s="55">
        <v>0</v>
      </c>
      <c r="J290" s="55">
        <v>0.01</v>
      </c>
      <c r="K290" s="55">
        <v>0</v>
      </c>
      <c r="L290" s="55">
        <v>0.01</v>
      </c>
    </row>
    <row r="291" spans="1:12">
      <c r="A291" s="55">
        <v>284</v>
      </c>
      <c r="B291" s="55" t="s">
        <v>667</v>
      </c>
      <c r="C291" s="55">
        <v>2</v>
      </c>
      <c r="D291" s="55">
        <v>2</v>
      </c>
      <c r="E291" s="55">
        <v>12</v>
      </c>
      <c r="F291" s="55">
        <v>10</v>
      </c>
      <c r="G291" s="55">
        <v>0</v>
      </c>
      <c r="H291" s="55">
        <v>20</v>
      </c>
      <c r="I291" s="55">
        <v>0.01</v>
      </c>
      <c r="J291" s="55">
        <v>0.01</v>
      </c>
      <c r="K291" s="55">
        <v>0.01</v>
      </c>
      <c r="L291" s="55">
        <v>0</v>
      </c>
    </row>
    <row r="292" spans="1:12">
      <c r="A292" s="55">
        <v>285</v>
      </c>
      <c r="B292" s="55" t="s">
        <v>1089</v>
      </c>
      <c r="C292" s="55">
        <v>0</v>
      </c>
      <c r="D292" s="55">
        <v>0</v>
      </c>
      <c r="E292" s="55">
        <v>12</v>
      </c>
      <c r="F292" s="55">
        <v>9</v>
      </c>
      <c r="G292" s="55">
        <v>0</v>
      </c>
      <c r="H292" s="55">
        <v>33.33</v>
      </c>
      <c r="I292" s="55">
        <v>0</v>
      </c>
      <c r="J292" s="55">
        <v>0.01</v>
      </c>
      <c r="K292" s="55">
        <v>0</v>
      </c>
      <c r="L292" s="55">
        <v>0</v>
      </c>
    </row>
    <row r="293" spans="1:12">
      <c r="A293" s="55">
        <v>286</v>
      </c>
      <c r="B293" s="55" t="s">
        <v>1081</v>
      </c>
      <c r="C293" s="55">
        <v>1</v>
      </c>
      <c r="D293" s="55">
        <v>1</v>
      </c>
      <c r="E293" s="55">
        <v>11</v>
      </c>
      <c r="F293" s="55">
        <v>16</v>
      </c>
      <c r="G293" s="55">
        <v>0</v>
      </c>
      <c r="H293" s="55">
        <v>-31.25</v>
      </c>
      <c r="I293" s="55">
        <v>0</v>
      </c>
      <c r="J293" s="55">
        <v>0.01</v>
      </c>
      <c r="K293" s="55">
        <v>0</v>
      </c>
      <c r="L293" s="55">
        <v>0.01</v>
      </c>
    </row>
    <row r="294" spans="1:12">
      <c r="A294" s="55">
        <v>287</v>
      </c>
      <c r="B294" s="55" t="s">
        <v>635</v>
      </c>
      <c r="C294" s="55">
        <v>3</v>
      </c>
      <c r="D294" s="55">
        <v>0</v>
      </c>
      <c r="E294" s="55">
        <v>11</v>
      </c>
      <c r="F294" s="55">
        <v>0</v>
      </c>
      <c r="G294" s="55">
        <v>0</v>
      </c>
      <c r="H294" s="55">
        <v>0</v>
      </c>
      <c r="I294" s="55">
        <v>0.01</v>
      </c>
      <c r="J294" s="55">
        <v>0.01</v>
      </c>
      <c r="K294" s="55">
        <v>0</v>
      </c>
      <c r="L294" s="55">
        <v>0</v>
      </c>
    </row>
    <row r="295" spans="1:12">
      <c r="A295" s="55">
        <v>288</v>
      </c>
      <c r="B295" s="55" t="s">
        <v>1082</v>
      </c>
      <c r="C295" s="55">
        <v>0</v>
      </c>
      <c r="D295" s="55">
        <v>1</v>
      </c>
      <c r="E295" s="55">
        <v>10</v>
      </c>
      <c r="F295" s="55">
        <v>11</v>
      </c>
      <c r="G295" s="55">
        <v>-100</v>
      </c>
      <c r="H295" s="55">
        <v>-9.09</v>
      </c>
      <c r="I295" s="55">
        <v>0</v>
      </c>
      <c r="J295" s="55">
        <v>0</v>
      </c>
      <c r="K295" s="55">
        <v>0</v>
      </c>
      <c r="L295" s="55">
        <v>0.01</v>
      </c>
    </row>
    <row r="296" spans="1:12">
      <c r="A296" s="55">
        <v>289</v>
      </c>
      <c r="B296" s="55" t="s">
        <v>570</v>
      </c>
      <c r="C296" s="55">
        <v>1</v>
      </c>
      <c r="D296" s="55">
        <v>0</v>
      </c>
      <c r="E296" s="55">
        <v>8</v>
      </c>
      <c r="F296" s="55">
        <v>16</v>
      </c>
      <c r="G296" s="55">
        <v>0</v>
      </c>
      <c r="H296" s="55">
        <v>-50</v>
      </c>
      <c r="I296" s="55">
        <v>0</v>
      </c>
      <c r="J296" s="55">
        <v>0</v>
      </c>
      <c r="K296" s="55">
        <v>0</v>
      </c>
      <c r="L296" s="55">
        <v>0.01</v>
      </c>
    </row>
    <row r="297" spans="1:12">
      <c r="A297" s="55">
        <v>290</v>
      </c>
      <c r="B297" s="55" t="s">
        <v>1177</v>
      </c>
      <c r="C297" s="55">
        <v>1</v>
      </c>
      <c r="D297" s="55">
        <v>0</v>
      </c>
      <c r="E297" s="55">
        <v>7</v>
      </c>
      <c r="F297" s="55">
        <v>2</v>
      </c>
      <c r="G297" s="55">
        <v>0</v>
      </c>
      <c r="H297" s="55">
        <v>250</v>
      </c>
      <c r="I297" s="55">
        <v>0</v>
      </c>
      <c r="J297" s="55">
        <v>0</v>
      </c>
      <c r="K297" s="55">
        <v>0</v>
      </c>
      <c r="L297" s="55">
        <v>0</v>
      </c>
    </row>
    <row r="298" spans="1:12">
      <c r="A298" s="55">
        <v>291</v>
      </c>
      <c r="B298" s="55" t="s">
        <v>666</v>
      </c>
      <c r="C298" s="55">
        <v>1</v>
      </c>
      <c r="D298" s="55">
        <v>0</v>
      </c>
      <c r="E298" s="55">
        <v>6</v>
      </c>
      <c r="F298" s="55">
        <v>8</v>
      </c>
      <c r="G298" s="55">
        <v>0</v>
      </c>
      <c r="H298" s="55">
        <v>-25</v>
      </c>
      <c r="I298" s="55">
        <v>0</v>
      </c>
      <c r="J298" s="55">
        <v>0</v>
      </c>
      <c r="K298" s="55">
        <v>0</v>
      </c>
      <c r="L298" s="55">
        <v>0</v>
      </c>
    </row>
    <row r="299" spans="1:12">
      <c r="A299" s="55">
        <v>292</v>
      </c>
      <c r="B299" s="55" t="s">
        <v>218</v>
      </c>
      <c r="C299" s="55">
        <v>1</v>
      </c>
      <c r="D299" s="55">
        <v>2</v>
      </c>
      <c r="E299" s="55">
        <v>6</v>
      </c>
      <c r="F299" s="55">
        <v>5</v>
      </c>
      <c r="G299" s="55">
        <v>-50</v>
      </c>
      <c r="H299" s="55">
        <v>20</v>
      </c>
      <c r="I299" s="55">
        <v>0</v>
      </c>
      <c r="J299" s="55">
        <v>0</v>
      </c>
      <c r="K299" s="55">
        <v>0.01</v>
      </c>
      <c r="L299" s="55">
        <v>0</v>
      </c>
    </row>
    <row r="300" spans="1:12">
      <c r="A300" s="135">
        <v>293</v>
      </c>
      <c r="B300" s="135" t="s">
        <v>482</v>
      </c>
      <c r="C300" s="135">
        <v>0</v>
      </c>
      <c r="D300" s="135">
        <v>0</v>
      </c>
      <c r="E300" s="135">
        <v>5</v>
      </c>
      <c r="F300" s="135">
        <v>11</v>
      </c>
      <c r="G300" s="135">
        <v>0</v>
      </c>
      <c r="H300" s="135">
        <v>-54.55</v>
      </c>
      <c r="I300" s="135">
        <v>0</v>
      </c>
      <c r="J300" s="135">
        <v>0</v>
      </c>
      <c r="K300" s="135">
        <v>0</v>
      </c>
      <c r="L300" s="135">
        <v>0.01</v>
      </c>
    </row>
    <row r="301" spans="1:12">
      <c r="A301" s="135">
        <v>294</v>
      </c>
      <c r="B301" s="135" t="s">
        <v>549</v>
      </c>
      <c r="C301" s="135">
        <v>1</v>
      </c>
      <c r="D301" s="135">
        <v>2</v>
      </c>
      <c r="E301" s="135">
        <v>5</v>
      </c>
      <c r="F301" s="135">
        <v>10</v>
      </c>
      <c r="G301" s="135">
        <v>-50</v>
      </c>
      <c r="H301" s="135">
        <v>-50</v>
      </c>
      <c r="I301" s="135">
        <v>0</v>
      </c>
      <c r="J301" s="135">
        <v>0</v>
      </c>
      <c r="K301" s="135">
        <v>0.01</v>
      </c>
      <c r="L301" s="135">
        <v>0</v>
      </c>
    </row>
    <row r="302" spans="1:12">
      <c r="A302" s="135">
        <v>295</v>
      </c>
      <c r="B302" s="135" t="s">
        <v>1083</v>
      </c>
      <c r="C302" s="135">
        <v>0</v>
      </c>
      <c r="D302" s="135">
        <v>0</v>
      </c>
      <c r="E302" s="135">
        <v>5</v>
      </c>
      <c r="F302" s="135">
        <v>0</v>
      </c>
      <c r="G302" s="137">
        <v>0</v>
      </c>
      <c r="H302" s="137">
        <v>0</v>
      </c>
      <c r="I302" s="135">
        <v>0</v>
      </c>
      <c r="J302" s="135">
        <v>0</v>
      </c>
      <c r="K302" s="135">
        <v>0</v>
      </c>
      <c r="L302" s="135">
        <v>0</v>
      </c>
    </row>
    <row r="303" spans="1:12">
      <c r="A303" s="135">
        <v>296</v>
      </c>
      <c r="B303" s="135" t="s">
        <v>212</v>
      </c>
      <c r="C303" s="135">
        <v>0</v>
      </c>
      <c r="D303" s="135">
        <v>9</v>
      </c>
      <c r="E303" s="135">
        <v>4</v>
      </c>
      <c r="F303" s="135">
        <v>20</v>
      </c>
      <c r="G303" s="135">
        <v>-100</v>
      </c>
      <c r="H303" s="135">
        <v>-80</v>
      </c>
      <c r="I303" s="135">
        <v>0</v>
      </c>
      <c r="J303" s="135">
        <v>0</v>
      </c>
      <c r="K303" s="135">
        <v>0.04</v>
      </c>
      <c r="L303" s="135">
        <v>0.01</v>
      </c>
    </row>
    <row r="304" spans="1:12">
      <c r="A304" s="135">
        <v>297</v>
      </c>
      <c r="B304" s="135" t="s">
        <v>1151</v>
      </c>
      <c r="C304" s="135">
        <v>2</v>
      </c>
      <c r="D304" s="135">
        <v>0</v>
      </c>
      <c r="E304" s="135">
        <v>4</v>
      </c>
      <c r="F304" s="135">
        <v>1</v>
      </c>
      <c r="G304" s="135">
        <v>0</v>
      </c>
      <c r="H304" s="135">
        <v>300</v>
      </c>
      <c r="I304" s="135">
        <v>0.01</v>
      </c>
      <c r="J304" s="135">
        <v>0</v>
      </c>
      <c r="K304" s="135">
        <v>0</v>
      </c>
      <c r="L304" s="135">
        <v>0</v>
      </c>
    </row>
    <row r="305" spans="1:12">
      <c r="A305" s="135">
        <v>298</v>
      </c>
      <c r="B305" s="135" t="s">
        <v>130</v>
      </c>
      <c r="C305" s="135">
        <v>0</v>
      </c>
      <c r="D305" s="135">
        <v>4</v>
      </c>
      <c r="E305" s="135">
        <v>3</v>
      </c>
      <c r="F305" s="135">
        <v>18</v>
      </c>
      <c r="G305" s="135">
        <v>-100</v>
      </c>
      <c r="H305" s="135">
        <v>-83.33</v>
      </c>
      <c r="I305" s="135">
        <v>0</v>
      </c>
      <c r="J305" s="135">
        <v>0</v>
      </c>
      <c r="K305" s="135">
        <v>0.02</v>
      </c>
      <c r="L305" s="135">
        <v>0.01</v>
      </c>
    </row>
    <row r="306" spans="1:12">
      <c r="A306" s="135">
        <v>299</v>
      </c>
      <c r="B306" s="135" t="s">
        <v>477</v>
      </c>
      <c r="C306" s="135">
        <v>0</v>
      </c>
      <c r="D306" s="135">
        <v>2</v>
      </c>
      <c r="E306" s="135">
        <v>3</v>
      </c>
      <c r="F306" s="135">
        <v>12</v>
      </c>
      <c r="G306" s="135">
        <v>-100</v>
      </c>
      <c r="H306" s="135">
        <v>-75</v>
      </c>
      <c r="I306" s="135">
        <v>0</v>
      </c>
      <c r="J306" s="135">
        <v>0</v>
      </c>
      <c r="K306" s="135">
        <v>0.01</v>
      </c>
      <c r="L306" s="135">
        <v>0.01</v>
      </c>
    </row>
    <row r="307" spans="1:12">
      <c r="A307" s="135">
        <v>300</v>
      </c>
      <c r="B307" s="135" t="s">
        <v>388</v>
      </c>
      <c r="C307" s="135">
        <v>1</v>
      </c>
      <c r="D307" s="135">
        <v>0</v>
      </c>
      <c r="E307" s="135">
        <v>3</v>
      </c>
      <c r="F307" s="135">
        <v>6</v>
      </c>
      <c r="G307" s="135">
        <v>0</v>
      </c>
      <c r="H307" s="135">
        <v>-50</v>
      </c>
      <c r="I307" s="135">
        <v>0</v>
      </c>
      <c r="J307" s="135">
        <v>0</v>
      </c>
      <c r="K307" s="135">
        <v>0</v>
      </c>
      <c r="L307" s="135">
        <v>0</v>
      </c>
    </row>
    <row r="308" spans="1:12">
      <c r="A308" s="135">
        <v>301</v>
      </c>
      <c r="B308" s="135" t="s">
        <v>105</v>
      </c>
      <c r="C308" s="135">
        <v>0</v>
      </c>
      <c r="D308" s="135">
        <v>238</v>
      </c>
      <c r="E308" s="135">
        <v>2</v>
      </c>
      <c r="F308" s="135">
        <v>1813</v>
      </c>
      <c r="G308" s="135">
        <v>-100</v>
      </c>
      <c r="H308" s="135">
        <v>-99.89</v>
      </c>
      <c r="I308" s="135">
        <v>0</v>
      </c>
      <c r="J308" s="135">
        <v>0</v>
      </c>
      <c r="K308" s="135">
        <v>1.08</v>
      </c>
      <c r="L308" s="135">
        <v>0.89</v>
      </c>
    </row>
    <row r="309" spans="1:12">
      <c r="A309" s="135">
        <v>302</v>
      </c>
      <c r="B309" s="135" t="s">
        <v>486</v>
      </c>
      <c r="C309" s="135">
        <v>0</v>
      </c>
      <c r="D309" s="135">
        <v>0</v>
      </c>
      <c r="E309" s="135">
        <v>2</v>
      </c>
      <c r="F309" s="135">
        <v>2</v>
      </c>
      <c r="G309" s="135">
        <v>0</v>
      </c>
      <c r="H309" s="135">
        <v>0</v>
      </c>
      <c r="I309" s="135">
        <v>0</v>
      </c>
      <c r="J309" s="135">
        <v>0</v>
      </c>
      <c r="K309" s="135">
        <v>0</v>
      </c>
      <c r="L309" s="135">
        <v>0</v>
      </c>
    </row>
    <row r="310" spans="1:12">
      <c r="A310" s="135">
        <v>303</v>
      </c>
      <c r="B310" s="135" t="s">
        <v>1180</v>
      </c>
      <c r="C310" s="135">
        <v>1</v>
      </c>
      <c r="D310" s="135">
        <v>0</v>
      </c>
      <c r="E310" s="135">
        <v>2</v>
      </c>
      <c r="F310" s="135">
        <v>1</v>
      </c>
      <c r="G310" s="135">
        <v>0</v>
      </c>
      <c r="H310" s="135">
        <v>100</v>
      </c>
      <c r="I310" s="135">
        <v>0</v>
      </c>
      <c r="J310" s="135">
        <v>0</v>
      </c>
      <c r="K310" s="135">
        <v>0</v>
      </c>
      <c r="L310" s="135">
        <v>0</v>
      </c>
    </row>
    <row r="311" spans="1:12">
      <c r="A311" s="135">
        <v>304</v>
      </c>
      <c r="B311" s="135" t="s">
        <v>1132</v>
      </c>
      <c r="C311" s="135">
        <v>0</v>
      </c>
      <c r="D311" s="135">
        <v>0</v>
      </c>
      <c r="E311" s="135">
        <v>2</v>
      </c>
      <c r="F311" s="135">
        <v>1</v>
      </c>
      <c r="G311" s="135">
        <v>0</v>
      </c>
      <c r="H311" s="135">
        <v>100</v>
      </c>
      <c r="I311" s="135">
        <v>0</v>
      </c>
      <c r="J311" s="135">
        <v>0</v>
      </c>
      <c r="K311" s="135">
        <v>0</v>
      </c>
      <c r="L311" s="135">
        <v>0</v>
      </c>
    </row>
    <row r="312" spans="1:12">
      <c r="A312" s="135">
        <v>305</v>
      </c>
      <c r="B312" s="135" t="s">
        <v>1265</v>
      </c>
      <c r="C312" s="135">
        <v>2</v>
      </c>
      <c r="D312" s="135">
        <v>0</v>
      </c>
      <c r="E312" s="135">
        <v>2</v>
      </c>
      <c r="F312" s="135">
        <v>0</v>
      </c>
      <c r="G312" s="135">
        <v>0</v>
      </c>
      <c r="H312" s="135">
        <v>0</v>
      </c>
      <c r="I312" s="135">
        <v>0.01</v>
      </c>
      <c r="J312" s="135">
        <v>0</v>
      </c>
      <c r="K312" s="135">
        <v>0</v>
      </c>
      <c r="L312" s="135">
        <v>0</v>
      </c>
    </row>
    <row r="313" spans="1:12">
      <c r="A313" s="135">
        <v>306</v>
      </c>
      <c r="B313" s="135" t="s">
        <v>1178</v>
      </c>
      <c r="C313" s="135">
        <v>0</v>
      </c>
      <c r="D313" s="135">
        <v>0</v>
      </c>
      <c r="E313" s="135">
        <v>2</v>
      </c>
      <c r="F313" s="135">
        <v>0</v>
      </c>
      <c r="G313" s="135">
        <v>0</v>
      </c>
      <c r="H313" s="135">
        <v>0</v>
      </c>
      <c r="I313" s="135">
        <v>0</v>
      </c>
      <c r="J313" s="135">
        <v>0</v>
      </c>
      <c r="K313" s="135">
        <v>0</v>
      </c>
      <c r="L313" s="135">
        <v>0</v>
      </c>
    </row>
    <row r="314" spans="1:12">
      <c r="A314" s="135">
        <v>307</v>
      </c>
      <c r="B314" s="135" t="s">
        <v>1179</v>
      </c>
      <c r="C314" s="135">
        <v>0</v>
      </c>
      <c r="D314" s="135">
        <v>0</v>
      </c>
      <c r="E314" s="135">
        <v>2</v>
      </c>
      <c r="F314" s="135">
        <v>0</v>
      </c>
      <c r="G314" s="135">
        <v>0</v>
      </c>
      <c r="H314" s="135">
        <v>0</v>
      </c>
      <c r="I314" s="135">
        <v>0</v>
      </c>
      <c r="J314" s="135">
        <v>0</v>
      </c>
      <c r="K314" s="135">
        <v>0</v>
      </c>
      <c r="L314" s="135">
        <v>0</v>
      </c>
    </row>
    <row r="315" spans="1:12" s="10" customFormat="1" ht="16">
      <c r="A315" s="135">
        <v>308</v>
      </c>
      <c r="B315" s="135" t="s">
        <v>1266</v>
      </c>
      <c r="C315" s="135">
        <v>2</v>
      </c>
      <c r="D315" s="135">
        <v>0</v>
      </c>
      <c r="E315" s="135">
        <v>2</v>
      </c>
      <c r="F315" s="135">
        <v>0</v>
      </c>
      <c r="G315" s="135">
        <v>0</v>
      </c>
      <c r="H315" s="135">
        <v>0</v>
      </c>
      <c r="I315" s="135">
        <v>0.01</v>
      </c>
      <c r="J315" s="135">
        <v>0</v>
      </c>
      <c r="K315" s="135">
        <v>0</v>
      </c>
      <c r="L315" s="135">
        <v>0</v>
      </c>
    </row>
    <row r="316" spans="1:12">
      <c r="A316" s="135">
        <v>309</v>
      </c>
      <c r="B316" s="135" t="s">
        <v>1267</v>
      </c>
      <c r="C316" s="135">
        <v>2</v>
      </c>
      <c r="D316" s="135">
        <v>0</v>
      </c>
      <c r="E316" s="135">
        <v>2</v>
      </c>
      <c r="F316" s="135">
        <v>0</v>
      </c>
      <c r="G316" s="135">
        <v>0</v>
      </c>
      <c r="H316" s="135">
        <v>0</v>
      </c>
      <c r="I316" s="135">
        <v>0.01</v>
      </c>
      <c r="J316" s="135">
        <v>0</v>
      </c>
      <c r="K316" s="135">
        <v>0</v>
      </c>
      <c r="L316" s="135">
        <v>0</v>
      </c>
    </row>
    <row r="317" spans="1:12">
      <c r="A317" s="135">
        <v>310</v>
      </c>
      <c r="B317" s="135" t="s">
        <v>1150</v>
      </c>
      <c r="C317" s="135">
        <v>0</v>
      </c>
      <c r="D317" s="135">
        <v>0</v>
      </c>
      <c r="E317" s="135">
        <v>2</v>
      </c>
      <c r="F317" s="135">
        <v>0</v>
      </c>
      <c r="G317" s="135">
        <v>0</v>
      </c>
      <c r="H317" s="135">
        <v>0</v>
      </c>
      <c r="I317" s="135">
        <v>0</v>
      </c>
      <c r="J317" s="135">
        <v>0</v>
      </c>
      <c r="K317" s="135">
        <v>0</v>
      </c>
      <c r="L317" s="135">
        <v>0</v>
      </c>
    </row>
    <row r="318" spans="1:12">
      <c r="A318" s="135">
        <v>311</v>
      </c>
      <c r="B318" s="135" t="s">
        <v>1088</v>
      </c>
      <c r="C318" s="135">
        <v>0</v>
      </c>
      <c r="D318" s="135">
        <v>0</v>
      </c>
      <c r="E318" s="135">
        <v>1</v>
      </c>
      <c r="F318" s="135">
        <v>35</v>
      </c>
      <c r="G318" s="135">
        <v>0</v>
      </c>
      <c r="H318" s="135">
        <v>-97.14</v>
      </c>
      <c r="I318" s="135">
        <v>0</v>
      </c>
      <c r="J318" s="135">
        <v>0</v>
      </c>
      <c r="K318" s="135">
        <v>0</v>
      </c>
      <c r="L318" s="135">
        <v>0.02</v>
      </c>
    </row>
    <row r="319" spans="1:12">
      <c r="A319" s="135">
        <v>312</v>
      </c>
      <c r="B319" s="135" t="s">
        <v>1129</v>
      </c>
      <c r="C319" s="135">
        <v>0</v>
      </c>
      <c r="D319" s="135">
        <v>0</v>
      </c>
      <c r="E319" s="135">
        <v>1</v>
      </c>
      <c r="F319" s="135">
        <v>6</v>
      </c>
      <c r="G319" s="135">
        <v>0</v>
      </c>
      <c r="H319" s="135">
        <v>-83.33</v>
      </c>
      <c r="I319" s="135">
        <v>0</v>
      </c>
      <c r="J319" s="135">
        <v>0</v>
      </c>
      <c r="K319" s="135">
        <v>0</v>
      </c>
      <c r="L319" s="135">
        <v>0</v>
      </c>
    </row>
    <row r="320" spans="1:12">
      <c r="A320" s="135">
        <v>313</v>
      </c>
      <c r="B320" s="135" t="s">
        <v>170</v>
      </c>
      <c r="C320" s="135">
        <v>0</v>
      </c>
      <c r="D320" s="135">
        <v>0</v>
      </c>
      <c r="E320" s="135">
        <v>1</v>
      </c>
      <c r="F320" s="135">
        <v>3</v>
      </c>
      <c r="G320" s="135">
        <v>0</v>
      </c>
      <c r="H320" s="135">
        <v>-66.67</v>
      </c>
      <c r="I320" s="135">
        <v>0</v>
      </c>
      <c r="J320" s="135">
        <v>0</v>
      </c>
      <c r="K320" s="135">
        <v>0</v>
      </c>
      <c r="L320" s="135">
        <v>0</v>
      </c>
    </row>
    <row r="321" spans="1:12">
      <c r="A321" s="135">
        <v>314</v>
      </c>
      <c r="B321" s="135" t="s">
        <v>593</v>
      </c>
      <c r="C321" s="135">
        <v>0</v>
      </c>
      <c r="D321" s="135">
        <v>0</v>
      </c>
      <c r="E321" s="135">
        <v>1</v>
      </c>
      <c r="F321" s="135">
        <v>3</v>
      </c>
      <c r="G321" s="135">
        <v>0</v>
      </c>
      <c r="H321" s="135">
        <v>-66.67</v>
      </c>
      <c r="I321" s="135">
        <v>0</v>
      </c>
      <c r="J321" s="135">
        <v>0</v>
      </c>
      <c r="K321" s="135">
        <v>0</v>
      </c>
      <c r="L321" s="135">
        <v>0</v>
      </c>
    </row>
    <row r="322" spans="1:12">
      <c r="A322" s="135">
        <v>315</v>
      </c>
      <c r="B322" s="135" t="s">
        <v>1181</v>
      </c>
      <c r="C322" s="135">
        <v>0</v>
      </c>
      <c r="D322" s="135">
        <v>1</v>
      </c>
      <c r="E322" s="135">
        <v>1</v>
      </c>
      <c r="F322" s="135">
        <v>2</v>
      </c>
      <c r="G322" s="135">
        <v>-100</v>
      </c>
      <c r="H322" s="135">
        <v>-50</v>
      </c>
      <c r="I322" s="135">
        <v>0</v>
      </c>
      <c r="J322" s="135">
        <v>0</v>
      </c>
      <c r="K322" s="135">
        <v>0</v>
      </c>
      <c r="L322" s="135">
        <v>0</v>
      </c>
    </row>
    <row r="323" spans="1:12">
      <c r="A323" s="135">
        <v>316</v>
      </c>
      <c r="B323" s="135" t="s">
        <v>1085</v>
      </c>
      <c r="C323" s="135">
        <v>0</v>
      </c>
      <c r="D323" s="135">
        <v>1</v>
      </c>
      <c r="E323" s="135">
        <v>1</v>
      </c>
      <c r="F323" s="135">
        <v>2</v>
      </c>
      <c r="G323" s="135">
        <v>-100</v>
      </c>
      <c r="H323" s="135">
        <v>-50</v>
      </c>
      <c r="I323" s="135">
        <v>0</v>
      </c>
      <c r="J323" s="135">
        <v>0</v>
      </c>
      <c r="K323" s="135">
        <v>0</v>
      </c>
      <c r="L323" s="135">
        <v>0</v>
      </c>
    </row>
    <row r="324" spans="1:12">
      <c r="A324" s="135">
        <v>317</v>
      </c>
      <c r="B324" s="135" t="s">
        <v>407</v>
      </c>
      <c r="C324" s="135">
        <v>0</v>
      </c>
      <c r="D324" s="135">
        <v>0</v>
      </c>
      <c r="E324" s="135">
        <v>1</v>
      </c>
      <c r="F324" s="135">
        <v>1</v>
      </c>
      <c r="G324" s="135">
        <v>0</v>
      </c>
      <c r="H324" s="135">
        <v>0</v>
      </c>
      <c r="I324" s="135">
        <v>0</v>
      </c>
      <c r="J324" s="135">
        <v>0</v>
      </c>
      <c r="K324" s="135">
        <v>0</v>
      </c>
      <c r="L324" s="135">
        <v>0</v>
      </c>
    </row>
    <row r="325" spans="1:12">
      <c r="A325" s="135">
        <v>318</v>
      </c>
      <c r="B325" s="135" t="s">
        <v>1086</v>
      </c>
      <c r="C325" s="135">
        <v>0</v>
      </c>
      <c r="D325" s="135">
        <v>0</v>
      </c>
      <c r="E325" s="135">
        <v>1</v>
      </c>
      <c r="F325" s="135">
        <v>1</v>
      </c>
      <c r="G325" s="135">
        <v>0</v>
      </c>
      <c r="H325" s="135">
        <v>0</v>
      </c>
      <c r="I325" s="135">
        <v>0</v>
      </c>
      <c r="J325" s="135">
        <v>0</v>
      </c>
      <c r="K325" s="135">
        <v>0</v>
      </c>
      <c r="L325" s="135">
        <v>0</v>
      </c>
    </row>
    <row r="326" spans="1:12">
      <c r="A326" s="135">
        <v>319</v>
      </c>
      <c r="B326" s="135" t="s">
        <v>1235</v>
      </c>
      <c r="C326" s="135">
        <v>0</v>
      </c>
      <c r="D326" s="135">
        <v>0</v>
      </c>
      <c r="E326" s="135">
        <v>1</v>
      </c>
      <c r="F326" s="135">
        <v>0</v>
      </c>
      <c r="G326" s="135">
        <v>0</v>
      </c>
      <c r="H326" s="135">
        <v>0</v>
      </c>
      <c r="I326" s="135">
        <v>0</v>
      </c>
      <c r="J326" s="135">
        <v>0</v>
      </c>
      <c r="K326" s="135">
        <v>0</v>
      </c>
      <c r="L326" s="135">
        <v>0</v>
      </c>
    </row>
    <row r="327" spans="1:12">
      <c r="A327" s="135">
        <v>320</v>
      </c>
      <c r="B327" s="135" t="s">
        <v>1268</v>
      </c>
      <c r="C327" s="135">
        <v>1</v>
      </c>
      <c r="D327" s="135">
        <v>0</v>
      </c>
      <c r="E327" s="135">
        <v>1</v>
      </c>
      <c r="F327" s="135">
        <v>0</v>
      </c>
      <c r="G327" s="135">
        <v>0</v>
      </c>
      <c r="H327" s="135">
        <v>0</v>
      </c>
      <c r="I327" s="135">
        <v>0</v>
      </c>
      <c r="J327" s="135">
        <v>0</v>
      </c>
      <c r="K327" s="135">
        <v>0</v>
      </c>
      <c r="L327" s="135">
        <v>0</v>
      </c>
    </row>
    <row r="328" spans="1:12">
      <c r="A328" s="135">
        <v>321</v>
      </c>
      <c r="B328" s="135" t="s">
        <v>1236</v>
      </c>
      <c r="C328" s="135">
        <v>0</v>
      </c>
      <c r="D328" s="135">
        <v>0</v>
      </c>
      <c r="E328" s="135">
        <v>1</v>
      </c>
      <c r="F328" s="135">
        <v>0</v>
      </c>
      <c r="G328" s="135">
        <v>0</v>
      </c>
      <c r="H328" s="135">
        <v>0</v>
      </c>
      <c r="I328" s="135">
        <v>0</v>
      </c>
      <c r="J328" s="135">
        <v>0</v>
      </c>
      <c r="K328" s="135">
        <v>0</v>
      </c>
      <c r="L328" s="135">
        <v>0</v>
      </c>
    </row>
    <row r="329" spans="1:12">
      <c r="A329" s="135">
        <v>322</v>
      </c>
      <c r="B329" s="135" t="s">
        <v>133</v>
      </c>
      <c r="C329" s="135">
        <v>0</v>
      </c>
      <c r="D329" s="135">
        <v>4</v>
      </c>
      <c r="E329" s="135">
        <v>0</v>
      </c>
      <c r="F329" s="135">
        <v>345</v>
      </c>
      <c r="G329" s="135">
        <v>-100</v>
      </c>
      <c r="H329" s="135">
        <v>-100</v>
      </c>
      <c r="I329" s="135">
        <v>0</v>
      </c>
      <c r="J329" s="135">
        <v>0</v>
      </c>
      <c r="K329" s="135">
        <v>0.02</v>
      </c>
      <c r="L329" s="135">
        <v>0.17</v>
      </c>
    </row>
    <row r="330" spans="1:12">
      <c r="A330" s="135">
        <v>323</v>
      </c>
      <c r="B330" s="135" t="s">
        <v>193</v>
      </c>
      <c r="C330" s="135">
        <v>0</v>
      </c>
      <c r="D330" s="135">
        <v>15</v>
      </c>
      <c r="E330" s="135">
        <v>0</v>
      </c>
      <c r="F330" s="135">
        <v>298</v>
      </c>
      <c r="G330" s="135">
        <v>-100</v>
      </c>
      <c r="H330" s="135">
        <v>-100</v>
      </c>
      <c r="I330" s="135">
        <v>0</v>
      </c>
      <c r="J330" s="135">
        <v>0</v>
      </c>
      <c r="K330" s="135">
        <v>7.0000000000000007E-2</v>
      </c>
      <c r="L330" s="135">
        <v>0.15</v>
      </c>
    </row>
    <row r="331" spans="1:12">
      <c r="A331" s="135">
        <v>324</v>
      </c>
      <c r="B331" s="135" t="s">
        <v>132</v>
      </c>
      <c r="C331" s="135">
        <v>0</v>
      </c>
      <c r="D331" s="135">
        <v>4</v>
      </c>
      <c r="E331" s="135">
        <v>0</v>
      </c>
      <c r="F331" s="135">
        <v>125</v>
      </c>
      <c r="G331" s="135">
        <v>-100</v>
      </c>
      <c r="H331" s="135">
        <v>-100</v>
      </c>
      <c r="I331" s="135">
        <v>0</v>
      </c>
      <c r="J331" s="135">
        <v>0</v>
      </c>
      <c r="K331" s="135">
        <v>0.02</v>
      </c>
      <c r="L331" s="135">
        <v>0.06</v>
      </c>
    </row>
    <row r="332" spans="1:12">
      <c r="A332" s="135">
        <v>325</v>
      </c>
      <c r="B332" s="135" t="s">
        <v>555</v>
      </c>
      <c r="C332" s="135">
        <v>0</v>
      </c>
      <c r="D332" s="135">
        <v>3</v>
      </c>
      <c r="E332" s="135">
        <v>0</v>
      </c>
      <c r="F332" s="135">
        <v>60</v>
      </c>
      <c r="G332" s="135">
        <v>-100</v>
      </c>
      <c r="H332" s="135">
        <v>-100</v>
      </c>
      <c r="I332" s="135">
        <v>0</v>
      </c>
      <c r="J332" s="135">
        <v>0</v>
      </c>
      <c r="K332" s="135">
        <v>0.01</v>
      </c>
      <c r="L332" s="135">
        <v>0.03</v>
      </c>
    </row>
    <row r="333" spans="1:12">
      <c r="A333" s="135">
        <v>326</v>
      </c>
      <c r="B333" s="135" t="s">
        <v>152</v>
      </c>
      <c r="C333" s="135">
        <v>0</v>
      </c>
      <c r="D333" s="135">
        <v>0</v>
      </c>
      <c r="E333" s="135">
        <v>0</v>
      </c>
      <c r="F333" s="135">
        <v>50</v>
      </c>
      <c r="G333" s="135">
        <v>0</v>
      </c>
      <c r="H333" s="135">
        <v>-100</v>
      </c>
      <c r="I333" s="135">
        <v>0</v>
      </c>
      <c r="J333" s="135">
        <v>0</v>
      </c>
      <c r="K333" s="135">
        <v>0</v>
      </c>
      <c r="L333" s="135">
        <v>0.02</v>
      </c>
    </row>
    <row r="334" spans="1:12">
      <c r="A334" s="135">
        <v>327</v>
      </c>
      <c r="B334" s="135" t="s">
        <v>365</v>
      </c>
      <c r="C334" s="135">
        <v>0</v>
      </c>
      <c r="D334" s="135">
        <v>0</v>
      </c>
      <c r="E334" s="135">
        <v>0</v>
      </c>
      <c r="F334" s="135">
        <v>48</v>
      </c>
      <c r="G334" s="135">
        <v>0</v>
      </c>
      <c r="H334" s="135">
        <v>-100</v>
      </c>
      <c r="I334" s="135">
        <v>0</v>
      </c>
      <c r="J334" s="135">
        <v>0</v>
      </c>
      <c r="K334" s="135">
        <v>0</v>
      </c>
      <c r="L334" s="135">
        <v>0.02</v>
      </c>
    </row>
    <row r="335" spans="1:12">
      <c r="A335" s="135">
        <v>328</v>
      </c>
      <c r="B335" s="135" t="s">
        <v>1131</v>
      </c>
      <c r="C335" s="135">
        <v>0</v>
      </c>
      <c r="D335" s="135">
        <v>0</v>
      </c>
      <c r="E335" s="135">
        <v>0</v>
      </c>
      <c r="F335" s="135">
        <v>38</v>
      </c>
      <c r="G335" s="135">
        <v>0</v>
      </c>
      <c r="H335" s="135">
        <v>-100</v>
      </c>
      <c r="I335" s="135">
        <v>0</v>
      </c>
      <c r="J335" s="135">
        <v>0</v>
      </c>
      <c r="K335" s="135">
        <v>0</v>
      </c>
      <c r="L335" s="135">
        <v>0.02</v>
      </c>
    </row>
    <row r="336" spans="1:12">
      <c r="A336" s="135">
        <v>329</v>
      </c>
      <c r="B336" s="135" t="s">
        <v>1087</v>
      </c>
      <c r="C336" s="135">
        <v>0</v>
      </c>
      <c r="D336" s="135">
        <v>6</v>
      </c>
      <c r="E336" s="135">
        <v>0</v>
      </c>
      <c r="F336" s="135">
        <v>30</v>
      </c>
      <c r="G336" s="135">
        <v>-100</v>
      </c>
      <c r="H336" s="135">
        <v>-100</v>
      </c>
      <c r="I336" s="135">
        <v>0</v>
      </c>
      <c r="J336" s="135">
        <v>0</v>
      </c>
      <c r="K336" s="135">
        <v>0.03</v>
      </c>
      <c r="L336" s="135">
        <v>0.01</v>
      </c>
    </row>
    <row r="337" spans="1:12">
      <c r="A337" s="135">
        <v>330</v>
      </c>
      <c r="B337" s="135" t="s">
        <v>221</v>
      </c>
      <c r="C337" s="135">
        <v>0</v>
      </c>
      <c r="D337" s="135">
        <v>0</v>
      </c>
      <c r="E337" s="135">
        <v>0</v>
      </c>
      <c r="F337" s="135">
        <v>22</v>
      </c>
      <c r="G337" s="135">
        <v>0</v>
      </c>
      <c r="H337" s="135">
        <v>-100</v>
      </c>
      <c r="I337" s="135">
        <v>0</v>
      </c>
      <c r="J337" s="135">
        <v>0</v>
      </c>
      <c r="K337" s="135">
        <v>0</v>
      </c>
      <c r="L337" s="135">
        <v>0.01</v>
      </c>
    </row>
    <row r="338" spans="1:12">
      <c r="A338" s="135">
        <v>331</v>
      </c>
      <c r="B338" s="135" t="s">
        <v>157</v>
      </c>
      <c r="C338" s="135">
        <v>0</v>
      </c>
      <c r="D338" s="135">
        <v>0</v>
      </c>
      <c r="E338" s="135">
        <v>0</v>
      </c>
      <c r="F338" s="135">
        <v>19</v>
      </c>
      <c r="G338" s="135">
        <v>0</v>
      </c>
      <c r="H338" s="135">
        <v>-100</v>
      </c>
      <c r="I338" s="135">
        <v>0</v>
      </c>
      <c r="J338" s="135">
        <v>0</v>
      </c>
      <c r="K338" s="135">
        <v>0</v>
      </c>
      <c r="L338" s="135">
        <v>0.01</v>
      </c>
    </row>
    <row r="339" spans="1:12">
      <c r="A339" s="135">
        <v>332</v>
      </c>
      <c r="B339" s="135" t="s">
        <v>188</v>
      </c>
      <c r="C339" s="135">
        <v>0</v>
      </c>
      <c r="D339" s="135">
        <v>0</v>
      </c>
      <c r="E339" s="135">
        <v>0</v>
      </c>
      <c r="F339" s="135">
        <v>19</v>
      </c>
      <c r="G339" s="135">
        <v>0</v>
      </c>
      <c r="H339" s="135">
        <v>-100</v>
      </c>
      <c r="I339" s="135">
        <v>0</v>
      </c>
      <c r="J339" s="135">
        <v>0</v>
      </c>
      <c r="K339" s="135">
        <v>0</v>
      </c>
      <c r="L339" s="135">
        <v>0.01</v>
      </c>
    </row>
    <row r="340" spans="1:12">
      <c r="A340" s="135">
        <v>333</v>
      </c>
      <c r="B340" s="135" t="s">
        <v>123</v>
      </c>
      <c r="C340" s="135">
        <v>0</v>
      </c>
      <c r="D340" s="135">
        <v>0</v>
      </c>
      <c r="E340" s="135">
        <v>0</v>
      </c>
      <c r="F340" s="135">
        <v>15</v>
      </c>
      <c r="G340" s="135">
        <v>0</v>
      </c>
      <c r="H340" s="135">
        <v>-100</v>
      </c>
      <c r="I340" s="135">
        <v>0</v>
      </c>
      <c r="J340" s="135">
        <v>0</v>
      </c>
      <c r="K340" s="135">
        <v>0</v>
      </c>
      <c r="L340" s="135">
        <v>0.01</v>
      </c>
    </row>
    <row r="341" spans="1:12">
      <c r="A341" s="135">
        <v>334</v>
      </c>
      <c r="B341" s="135" t="s">
        <v>484</v>
      </c>
      <c r="C341" s="135">
        <v>0</v>
      </c>
      <c r="D341" s="135">
        <v>0</v>
      </c>
      <c r="E341" s="135">
        <v>0</v>
      </c>
      <c r="F341" s="135">
        <v>8</v>
      </c>
      <c r="G341" s="135">
        <v>0</v>
      </c>
      <c r="H341" s="135">
        <v>-100</v>
      </c>
      <c r="I341" s="135">
        <v>0</v>
      </c>
      <c r="J341" s="135">
        <v>0</v>
      </c>
      <c r="K341" s="135">
        <v>0</v>
      </c>
      <c r="L341" s="135">
        <v>0</v>
      </c>
    </row>
    <row r="342" spans="1:12">
      <c r="A342" s="135">
        <v>335</v>
      </c>
      <c r="B342" s="135" t="s">
        <v>1152</v>
      </c>
      <c r="C342" s="135">
        <v>0</v>
      </c>
      <c r="D342" s="135">
        <v>0</v>
      </c>
      <c r="E342" s="135">
        <v>0</v>
      </c>
      <c r="F342" s="135">
        <v>7</v>
      </c>
      <c r="G342" s="135">
        <v>0</v>
      </c>
      <c r="H342" s="135">
        <v>-100</v>
      </c>
      <c r="I342" s="135">
        <v>0</v>
      </c>
      <c r="J342" s="135">
        <v>0</v>
      </c>
      <c r="K342" s="135">
        <v>0</v>
      </c>
      <c r="L342" s="135">
        <v>0</v>
      </c>
    </row>
    <row r="343" spans="1:12">
      <c r="A343" s="135">
        <v>336</v>
      </c>
      <c r="B343" s="135" t="s">
        <v>217</v>
      </c>
      <c r="C343" s="135">
        <v>0</v>
      </c>
      <c r="D343" s="135">
        <v>0</v>
      </c>
      <c r="E343" s="135">
        <v>0</v>
      </c>
      <c r="F343" s="135">
        <v>7</v>
      </c>
      <c r="G343" s="135">
        <v>0</v>
      </c>
      <c r="H343" s="135">
        <v>-100</v>
      </c>
      <c r="I343" s="135">
        <v>0</v>
      </c>
      <c r="J343" s="135">
        <v>0</v>
      </c>
      <c r="K343" s="135">
        <v>0</v>
      </c>
      <c r="L343" s="135">
        <v>0</v>
      </c>
    </row>
    <row r="344" spans="1:12">
      <c r="A344" s="135">
        <v>337</v>
      </c>
      <c r="B344" s="135" t="s">
        <v>96</v>
      </c>
      <c r="C344" s="135">
        <v>0</v>
      </c>
      <c r="D344" s="135">
        <v>0</v>
      </c>
      <c r="E344" s="135">
        <v>0</v>
      </c>
      <c r="F344" s="135">
        <v>6</v>
      </c>
      <c r="G344" s="135">
        <v>0</v>
      </c>
      <c r="H344" s="135">
        <v>-100</v>
      </c>
      <c r="I344" s="135">
        <v>0</v>
      </c>
      <c r="J344" s="135">
        <v>0</v>
      </c>
      <c r="K344" s="135">
        <v>0</v>
      </c>
      <c r="L344" s="135">
        <v>0</v>
      </c>
    </row>
    <row r="345" spans="1:12">
      <c r="A345" s="135">
        <v>338</v>
      </c>
      <c r="B345" s="135" t="s">
        <v>1223</v>
      </c>
      <c r="C345" s="135">
        <v>0</v>
      </c>
      <c r="D345" s="135">
        <v>0</v>
      </c>
      <c r="E345" s="135">
        <v>0</v>
      </c>
      <c r="F345" s="135">
        <v>3</v>
      </c>
      <c r="G345" s="135">
        <v>0</v>
      </c>
      <c r="H345" s="135">
        <v>-100</v>
      </c>
      <c r="I345" s="135">
        <v>0</v>
      </c>
      <c r="J345" s="135">
        <v>0</v>
      </c>
      <c r="K345" s="135">
        <v>0</v>
      </c>
      <c r="L345" s="135">
        <v>0</v>
      </c>
    </row>
    <row r="346" spans="1:12">
      <c r="A346" s="135">
        <v>339</v>
      </c>
      <c r="B346" s="135" t="s">
        <v>1090</v>
      </c>
      <c r="C346" s="135">
        <v>0</v>
      </c>
      <c r="D346" s="135">
        <v>0</v>
      </c>
      <c r="E346" s="135">
        <v>0</v>
      </c>
      <c r="F346" s="135">
        <v>2</v>
      </c>
      <c r="G346" s="135">
        <v>0</v>
      </c>
      <c r="H346" s="135">
        <v>-100</v>
      </c>
      <c r="I346" s="135">
        <v>0</v>
      </c>
      <c r="J346" s="135">
        <v>0</v>
      </c>
      <c r="K346" s="135">
        <v>0</v>
      </c>
      <c r="L346" s="135">
        <v>0</v>
      </c>
    </row>
    <row r="347" spans="1:12">
      <c r="A347" s="135">
        <v>340</v>
      </c>
      <c r="B347" s="135" t="s">
        <v>1155</v>
      </c>
      <c r="C347" s="135">
        <v>0</v>
      </c>
      <c r="D347" s="135">
        <v>0</v>
      </c>
      <c r="E347" s="135">
        <v>0</v>
      </c>
      <c r="F347" s="135">
        <v>2</v>
      </c>
      <c r="G347" s="135">
        <v>0</v>
      </c>
      <c r="H347" s="135">
        <v>-100</v>
      </c>
      <c r="I347" s="135">
        <v>0</v>
      </c>
      <c r="J347" s="135">
        <v>0</v>
      </c>
      <c r="K347" s="135">
        <v>0</v>
      </c>
      <c r="L347" s="135">
        <v>0</v>
      </c>
    </row>
    <row r="348" spans="1:12">
      <c r="A348" s="135">
        <v>341</v>
      </c>
      <c r="B348" s="135" t="s">
        <v>1183</v>
      </c>
      <c r="C348" s="135">
        <v>0</v>
      </c>
      <c r="D348" s="135">
        <v>0</v>
      </c>
      <c r="E348" s="135">
        <v>0</v>
      </c>
      <c r="F348" s="135">
        <v>1</v>
      </c>
      <c r="G348" s="135">
        <v>0</v>
      </c>
      <c r="H348" s="135">
        <v>-100</v>
      </c>
      <c r="I348" s="135">
        <v>0</v>
      </c>
      <c r="J348" s="135">
        <v>0</v>
      </c>
      <c r="K348" s="135">
        <v>0</v>
      </c>
      <c r="L348" s="135">
        <v>0</v>
      </c>
    </row>
    <row r="349" spans="1:12">
      <c r="A349" s="135">
        <v>342</v>
      </c>
      <c r="B349" s="135" t="s">
        <v>1238</v>
      </c>
      <c r="C349" s="135">
        <v>0</v>
      </c>
      <c r="D349" s="135">
        <v>0</v>
      </c>
      <c r="E349" s="135">
        <v>0</v>
      </c>
      <c r="F349" s="135">
        <v>1</v>
      </c>
      <c r="G349" s="135">
        <v>0</v>
      </c>
      <c r="H349" s="135">
        <v>-100</v>
      </c>
      <c r="I349" s="135">
        <v>0</v>
      </c>
      <c r="J349" s="135">
        <v>0</v>
      </c>
      <c r="K349" s="135">
        <v>0</v>
      </c>
      <c r="L349" s="135">
        <v>0</v>
      </c>
    </row>
    <row r="350" spans="1:12">
      <c r="A350" s="135">
        <v>343</v>
      </c>
      <c r="B350" s="135" t="s">
        <v>1133</v>
      </c>
      <c r="C350" s="135">
        <v>0</v>
      </c>
      <c r="D350" s="135">
        <v>0</v>
      </c>
      <c r="E350" s="135">
        <v>0</v>
      </c>
      <c r="F350" s="135">
        <v>1</v>
      </c>
      <c r="G350" s="135">
        <v>0</v>
      </c>
      <c r="H350" s="135">
        <v>-100</v>
      </c>
      <c r="I350" s="135">
        <v>0</v>
      </c>
      <c r="J350" s="135">
        <v>0</v>
      </c>
      <c r="K350" s="135">
        <v>0</v>
      </c>
      <c r="L350" s="135">
        <v>0</v>
      </c>
    </row>
    <row r="351" spans="1:12">
      <c r="A351" s="135">
        <v>344</v>
      </c>
      <c r="B351" s="135" t="s">
        <v>1237</v>
      </c>
      <c r="C351" s="135">
        <v>0</v>
      </c>
      <c r="D351" s="135">
        <v>0</v>
      </c>
      <c r="E351" s="135">
        <v>0</v>
      </c>
      <c r="F351" s="135">
        <v>1</v>
      </c>
      <c r="G351" s="135">
        <v>0</v>
      </c>
      <c r="H351" s="135">
        <v>-100</v>
      </c>
      <c r="I351" s="135">
        <v>0</v>
      </c>
      <c r="J351" s="135">
        <v>0</v>
      </c>
      <c r="K351" s="135">
        <v>0</v>
      </c>
      <c r="L351" s="135">
        <v>0</v>
      </c>
    </row>
    <row r="352" spans="1:12">
      <c r="A352" s="135">
        <v>345</v>
      </c>
      <c r="B352" s="135" t="s">
        <v>1182</v>
      </c>
      <c r="C352" s="135">
        <v>0</v>
      </c>
      <c r="D352" s="135">
        <v>0</v>
      </c>
      <c r="E352" s="135">
        <v>0</v>
      </c>
      <c r="F352" s="135">
        <v>1</v>
      </c>
      <c r="G352" s="135">
        <v>0</v>
      </c>
      <c r="H352" s="135">
        <v>-100</v>
      </c>
      <c r="I352" s="135">
        <v>0</v>
      </c>
      <c r="J352" s="135">
        <v>0</v>
      </c>
      <c r="K352" s="135">
        <v>0</v>
      </c>
      <c r="L352" s="135">
        <v>0</v>
      </c>
    </row>
    <row r="353" spans="1:12">
      <c r="A353" s="135">
        <v>346</v>
      </c>
      <c r="B353" s="135" t="s">
        <v>1185</v>
      </c>
      <c r="C353" s="135">
        <v>0</v>
      </c>
      <c r="D353" s="135">
        <v>0</v>
      </c>
      <c r="E353" s="135">
        <v>0</v>
      </c>
      <c r="F353" s="135">
        <v>1</v>
      </c>
      <c r="G353" s="135">
        <v>0</v>
      </c>
      <c r="H353" s="135">
        <v>-100</v>
      </c>
      <c r="I353" s="135">
        <v>0</v>
      </c>
      <c r="J353" s="135">
        <v>0</v>
      </c>
      <c r="K353" s="135">
        <v>0</v>
      </c>
      <c r="L353" s="135">
        <v>0</v>
      </c>
    </row>
    <row r="354" spans="1:12">
      <c r="A354" s="135">
        <v>347</v>
      </c>
      <c r="B354" s="135" t="s">
        <v>1154</v>
      </c>
      <c r="C354" s="135">
        <v>0</v>
      </c>
      <c r="D354" s="135">
        <v>0</v>
      </c>
      <c r="E354" s="135">
        <v>0</v>
      </c>
      <c r="F354" s="135">
        <v>1</v>
      </c>
      <c r="G354" s="135">
        <v>0</v>
      </c>
      <c r="H354" s="135">
        <v>-100</v>
      </c>
      <c r="I354" s="135">
        <v>0</v>
      </c>
      <c r="J354" s="135">
        <v>0</v>
      </c>
      <c r="K354" s="135">
        <v>0</v>
      </c>
      <c r="L354" s="135">
        <v>0</v>
      </c>
    </row>
    <row r="355" spans="1:12">
      <c r="A355" s="135">
        <v>348</v>
      </c>
      <c r="B355" s="135" t="s">
        <v>1184</v>
      </c>
      <c r="C355" s="135">
        <v>0</v>
      </c>
      <c r="D355" s="135">
        <v>0</v>
      </c>
      <c r="E355" s="135">
        <v>0</v>
      </c>
      <c r="F355" s="135">
        <v>1</v>
      </c>
      <c r="G355" s="135">
        <v>0</v>
      </c>
      <c r="H355" s="135">
        <v>-100</v>
      </c>
      <c r="I355" s="135">
        <v>0</v>
      </c>
      <c r="J355" s="135">
        <v>0</v>
      </c>
      <c r="K355" s="135">
        <v>0</v>
      </c>
      <c r="L355" s="135">
        <v>0</v>
      </c>
    </row>
    <row r="356" spans="1:12">
      <c r="A356" s="135">
        <v>349</v>
      </c>
      <c r="B356" s="135" t="s">
        <v>207</v>
      </c>
      <c r="C356" s="135">
        <v>41</v>
      </c>
      <c r="D356" s="135">
        <v>25</v>
      </c>
      <c r="E356" s="135">
        <v>215</v>
      </c>
      <c r="F356" s="135">
        <v>199</v>
      </c>
      <c r="G356" s="135">
        <v>64</v>
      </c>
      <c r="H356" s="135">
        <v>8.0399999999999991</v>
      </c>
      <c r="I356" s="135">
        <v>0.15</v>
      </c>
      <c r="J356" s="135">
        <v>0.1</v>
      </c>
      <c r="K356" s="135">
        <v>0.11</v>
      </c>
      <c r="L356" s="135">
        <v>0.1</v>
      </c>
    </row>
    <row r="357" spans="1:12">
      <c r="A357" s="135"/>
      <c r="B357" s="136" t="s">
        <v>454</v>
      </c>
      <c r="C357" s="135">
        <f>SUBTOTAL(109,getAggModelsPB[antalPerioden])</f>
        <v>28135</v>
      </c>
      <c r="D357" s="135">
        <f>SUBTOTAL(109,getAggModelsPB[antalFGPeriod])</f>
        <v>22048</v>
      </c>
      <c r="E357" s="135">
        <f>SUBTOTAL(109,getAggModelsPB[antalÅret])</f>
        <v>209969</v>
      </c>
      <c r="F357" s="135">
        <f>SUBTOTAL(109,getAggModelsPB[antalFGAr])</f>
        <v>204640</v>
      </c>
      <c r="G357" s="137">
        <f>IF(getAggModelsPB[[#Totals],[antalFGPeriod]] &gt; 0,(getAggModelsPB[[#Totals],[antalPerioden]] - getAggModelsPB[[#Totals],[antalFGPeriod]] ) / getAggModelsPB[[#Totals],[antalFGPeriod]] * 100,0)</f>
        <v>27.607946298984036</v>
      </c>
      <c r="H357" s="137">
        <f>IF(getAggModelsPB[[#Totals],[antalFGAr]] &gt; 0,(getAggModelsPB[[#Totals],[antalÅret]] - getAggModelsPB[[#Totals],[antalFGAr]]) / getAggModelsPB[[#Totals],[antalFGAr]] * 100,0)</f>
        <v>2.6040852228303364</v>
      </c>
      <c r="I357" s="138" t="str">
        <f>TEXT(100,"0,00")</f>
        <v>100,00</v>
      </c>
      <c r="J357" s="138" t="str">
        <f>TEXT(100,"0,00")</f>
        <v>100,00</v>
      </c>
      <c r="K357" s="138" t="str">
        <f>TEXT(100,"0,00")</f>
        <v>100,00</v>
      </c>
      <c r="L357" s="138" t="str">
        <f>TEXT(100,"0,00")</f>
        <v>100,00</v>
      </c>
    </row>
    <row r="360" spans="1:12">
      <c r="A360" t="s">
        <v>678</v>
      </c>
    </row>
  </sheetData>
  <mergeCells count="6">
    <mergeCell ref="H4:L4"/>
    <mergeCell ref="K5:L5"/>
    <mergeCell ref="E5:F5"/>
    <mergeCell ref="C5:D5"/>
    <mergeCell ref="G5:H5"/>
    <mergeCell ref="I5:J5"/>
  </mergeCells>
  <dataValidations disablePrompts="1" count="3">
    <dataValidation allowBlank="1" showInputMessage="1" showErrorMessage="1" prompt="visar antalet registreringar för den aktuella månaden i år." sqref="C6:F6" xr:uid="{00000000-0002-0000-0200-000000000000}"/>
    <dataValidation allowBlank="1" showInputMessage="1" showErrorMessage="1" prompt="förändring i antalet registreringar ackumulerat från årets början t.o.m den aktuella månaden." sqref="H6" xr:uid="{00000000-0002-0000-0200-000001000000}"/>
    <dataValidation allowBlank="1" showInputMessage="1" showErrorMessage="1" prompt="förändring i marknads-andelen ackumulerat från årets början t.o.m den aktuella månaden." sqref="J6" xr:uid="{00000000-0002-0000-0200-000002000000}"/>
  </dataValidations>
  <pageMargins left="0.51181102362204722" right="0.51181102362204722" top="0.74803149606299213" bottom="0.74803149606299213" header="0.31496062992125984" footer="0.31496062992125984"/>
  <pageSetup paperSize="9" scale="99" fitToHeight="0"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S429"/>
  <sheetViews>
    <sheetView zoomScaleNormal="100" workbookViewId="0">
      <pane ySplit="9" topLeftCell="A10" activePane="bottomLeft" state="frozen"/>
      <selection pane="bottomLeft" activeCell="P10" sqref="P10"/>
    </sheetView>
  </sheetViews>
  <sheetFormatPr baseColWidth="10" defaultColWidth="8.83203125" defaultRowHeight="14" outlineLevelRow="1"/>
  <cols>
    <col min="1" max="1" width="6.5" style="36" customWidth="1"/>
    <col min="2" max="2" width="18.5" style="25" customWidth="1"/>
    <col min="3" max="3" width="4.1640625" style="170" customWidth="1"/>
    <col min="4" max="4" width="3.5" style="171" customWidth="1"/>
    <col min="5" max="6" width="7.6640625" style="25" customWidth="1"/>
    <col min="7" max="7" width="8.5" style="25" customWidth="1"/>
    <col min="8" max="8" width="9.5" style="25" bestFit="1" customWidth="1"/>
    <col min="9" max="9" width="8.6640625" style="25" customWidth="1"/>
    <col min="10" max="11" width="7.6640625" style="25" customWidth="1"/>
    <col min="12" max="12" width="8.5" style="25" customWidth="1"/>
    <col min="13" max="16384" width="8.83203125" style="25"/>
  </cols>
  <sheetData>
    <row r="1" spans="1:19" ht="20" thickBot="1">
      <c r="E1" s="237" t="s">
        <v>1282</v>
      </c>
      <c r="F1" s="237"/>
      <c r="G1" s="237"/>
      <c r="H1" s="237"/>
      <c r="I1" s="237"/>
      <c r="J1" s="237"/>
      <c r="K1" s="237"/>
      <c r="L1" s="237"/>
      <c r="M1" s="237"/>
      <c r="N1" s="237"/>
    </row>
    <row r="2" spans="1:19" ht="3.75" customHeight="1">
      <c r="E2" s="172"/>
      <c r="F2" s="172"/>
      <c r="G2" s="172"/>
    </row>
    <row r="3" spans="1:19">
      <c r="G3" s="173" t="s">
        <v>710</v>
      </c>
      <c r="H3" s="174">
        <f>CntPeriod/RegDagar</f>
        <v>1406.75</v>
      </c>
      <c r="J3" s="175" t="s">
        <v>711</v>
      </c>
      <c r="K3" s="176">
        <v>20</v>
      </c>
      <c r="L3" s="176"/>
    </row>
    <row r="4" spans="1:19">
      <c r="G4" s="173" t="s">
        <v>712</v>
      </c>
      <c r="H4" s="175">
        <f>CntPeriod</f>
        <v>28135</v>
      </c>
      <c r="J4" s="175"/>
      <c r="K4" s="175"/>
      <c r="L4" s="175"/>
      <c r="M4" s="175"/>
    </row>
    <row r="5" spans="1:19" ht="13.25" customHeight="1">
      <c r="B5" s="175"/>
      <c r="C5" s="177"/>
      <c r="E5" s="178"/>
      <c r="F5" s="175"/>
      <c r="G5" s="175"/>
      <c r="H5" s="175"/>
      <c r="I5" s="175"/>
      <c r="J5" s="175"/>
      <c r="K5" s="175"/>
      <c r="L5" s="175"/>
    </row>
    <row r="6" spans="1:19">
      <c r="E6" s="238" t="s">
        <v>713</v>
      </c>
      <c r="F6" s="239"/>
      <c r="G6" s="239"/>
      <c r="H6" s="239"/>
      <c r="I6" s="240"/>
      <c r="J6" s="238" t="s">
        <v>714</v>
      </c>
      <c r="K6" s="239"/>
      <c r="L6" s="239"/>
      <c r="M6" s="239"/>
      <c r="N6" s="240"/>
      <c r="R6" s="179"/>
      <c r="S6" s="179"/>
    </row>
    <row r="7" spans="1:19">
      <c r="A7" s="227" t="s">
        <v>715</v>
      </c>
      <c r="B7" s="227"/>
      <c r="C7" s="227"/>
      <c r="D7" s="241"/>
      <c r="E7" s="242" t="s">
        <v>1283</v>
      </c>
      <c r="F7" s="243"/>
      <c r="G7" s="243"/>
      <c r="H7" s="243"/>
      <c r="I7" s="244"/>
      <c r="J7" s="245" t="s">
        <v>716</v>
      </c>
      <c r="K7" s="246"/>
      <c r="L7" s="246"/>
      <c r="M7" s="246"/>
      <c r="N7" s="247"/>
    </row>
    <row r="8" spans="1:19" ht="13.25" customHeight="1">
      <c r="A8" s="180" t="s">
        <v>717</v>
      </c>
      <c r="E8" s="234" t="s">
        <v>718</v>
      </c>
      <c r="F8" s="235"/>
      <c r="G8" s="225" t="s">
        <v>719</v>
      </c>
      <c r="H8" s="234" t="s">
        <v>537</v>
      </c>
      <c r="I8" s="236"/>
      <c r="J8" s="234" t="s">
        <v>718</v>
      </c>
      <c r="K8" s="235"/>
      <c r="L8" s="225" t="s">
        <v>719</v>
      </c>
      <c r="M8" s="234" t="s">
        <v>537</v>
      </c>
      <c r="N8" s="236"/>
    </row>
    <row r="9" spans="1:19">
      <c r="A9" s="180" t="s">
        <v>720</v>
      </c>
      <c r="B9" s="179" t="s">
        <v>453</v>
      </c>
      <c r="C9" s="181"/>
      <c r="E9" s="182">
        <v>2023</v>
      </c>
      <c r="F9" s="183">
        <v>2022</v>
      </c>
      <c r="G9" s="184" t="s">
        <v>721</v>
      </c>
      <c r="H9" s="183">
        <v>2023</v>
      </c>
      <c r="I9" s="185">
        <v>2022</v>
      </c>
      <c r="J9" s="182">
        <v>2023</v>
      </c>
      <c r="K9" s="183">
        <v>2022</v>
      </c>
      <c r="L9" s="184" t="s">
        <v>721</v>
      </c>
      <c r="M9" s="183">
        <v>2023</v>
      </c>
      <c r="N9" s="185">
        <v>2022</v>
      </c>
    </row>
    <row r="10" spans="1:19" collapsed="1">
      <c r="A10" s="180" t="s">
        <v>722</v>
      </c>
      <c r="B10" s="179" t="s">
        <v>294</v>
      </c>
      <c r="C10" s="186">
        <f t="shared" ref="C10:C73" si="0">IF(K10=0,"",SUM(((J10-K10)/K10)*100))</f>
        <v>-2.4910400624534259</v>
      </c>
      <c r="E10" s="182">
        <v>3258</v>
      </c>
      <c r="F10" s="183">
        <v>2496</v>
      </c>
      <c r="G10" s="187">
        <f t="shared" ref="G10:G73" si="1">IF(F10=0,"",SUM(((E10-F10)/F10)*100))</f>
        <v>30.528846153846157</v>
      </c>
      <c r="H10" s="188">
        <f t="shared" ref="H10:H73" si="2">IF(E10=0,"",SUM((E10/CntPeriod)*100))</f>
        <v>11.579882708370357</v>
      </c>
      <c r="I10" s="188">
        <f t="shared" ref="I10:I73" si="3">IF(F10=0,"",SUM((F10/CntPeriodPrevYear)*100))</f>
        <v>11.320754716981133</v>
      </c>
      <c r="J10" s="182">
        <v>27479</v>
      </c>
      <c r="K10" s="183">
        <v>28181</v>
      </c>
      <c r="L10" s="187">
        <f t="shared" ref="L10:L73" si="4">IF(K10=0,"",SUM(((J10-K10)/K10)*100))</f>
        <v>-2.4910400624534259</v>
      </c>
      <c r="M10" s="188">
        <f t="shared" ref="M10:M73" si="5">IF(J10=0,"",SUM((J10/CntYearAck)*100))</f>
        <v>13.08717001081112</v>
      </c>
      <c r="N10" s="189">
        <f t="shared" ref="N10:N73" si="6">IF(K10=0,"",SUM((K10/CntPrevYearAck)*100))</f>
        <v>13.771012509773261</v>
      </c>
    </row>
    <row r="11" spans="1:19" hidden="1" outlineLevel="1">
      <c r="A11" s="180"/>
      <c r="B11" s="190" t="s">
        <v>723</v>
      </c>
      <c r="C11" s="186">
        <f t="shared" si="0"/>
        <v>6.8164887012664517</v>
      </c>
      <c r="E11" s="182">
        <v>1391</v>
      </c>
      <c r="F11" s="183">
        <v>631</v>
      </c>
      <c r="G11" s="191">
        <f t="shared" si="1"/>
        <v>120.44374009508716</v>
      </c>
      <c r="H11" s="188">
        <f t="shared" si="2"/>
        <v>4.9440199040341213</v>
      </c>
      <c r="I11" s="188">
        <f t="shared" si="3"/>
        <v>2.8619375907111757</v>
      </c>
      <c r="J11" s="182">
        <v>8603</v>
      </c>
      <c r="K11" s="183">
        <v>8054</v>
      </c>
      <c r="L11" s="191">
        <f t="shared" si="4"/>
        <v>6.8164887012664517</v>
      </c>
      <c r="M11" s="188">
        <f t="shared" si="5"/>
        <v>4.0972715019836263</v>
      </c>
      <c r="N11" s="189">
        <f t="shared" si="6"/>
        <v>3.9356919468334639</v>
      </c>
    </row>
    <row r="12" spans="1:19" hidden="1" outlineLevel="1">
      <c r="A12" s="180"/>
      <c r="B12" s="190" t="s">
        <v>724</v>
      </c>
      <c r="C12" s="186">
        <f t="shared" si="0"/>
        <v>0.20964360587002098</v>
      </c>
      <c r="E12" s="182">
        <v>748</v>
      </c>
      <c r="F12" s="183">
        <v>504</v>
      </c>
      <c r="G12" s="191">
        <f t="shared" si="1"/>
        <v>48.412698412698411</v>
      </c>
      <c r="H12" s="188">
        <f t="shared" si="2"/>
        <v>2.6586102719033233</v>
      </c>
      <c r="I12" s="188">
        <f t="shared" si="3"/>
        <v>2.2859216255442671</v>
      </c>
      <c r="J12" s="182">
        <v>7648</v>
      </c>
      <c r="K12" s="183">
        <v>7632</v>
      </c>
      <c r="L12" s="191">
        <f t="shared" si="4"/>
        <v>0.20964360587002098</v>
      </c>
      <c r="M12" s="188">
        <f t="shared" si="5"/>
        <v>3.6424424557910928</v>
      </c>
      <c r="N12" s="189">
        <f t="shared" si="6"/>
        <v>3.7294761532447227</v>
      </c>
    </row>
    <row r="13" spans="1:19" hidden="1" outlineLevel="1">
      <c r="A13" s="180"/>
      <c r="B13" s="190" t="s">
        <v>725</v>
      </c>
      <c r="C13" s="186">
        <f t="shared" si="0"/>
        <v>-32.653760493404143</v>
      </c>
      <c r="E13" s="182">
        <v>361</v>
      </c>
      <c r="F13" s="183">
        <v>444</v>
      </c>
      <c r="G13" s="191">
        <f t="shared" si="1"/>
        <v>-18.693693693693696</v>
      </c>
      <c r="H13" s="188">
        <f t="shared" si="2"/>
        <v>1.2830993424560158</v>
      </c>
      <c r="I13" s="188">
        <f t="shared" si="3"/>
        <v>2.0137880986937593</v>
      </c>
      <c r="J13" s="182">
        <v>3931</v>
      </c>
      <c r="K13" s="183">
        <v>5837</v>
      </c>
      <c r="L13" s="191">
        <f t="shared" si="4"/>
        <v>-32.653760493404143</v>
      </c>
      <c r="M13" s="188">
        <f t="shared" si="5"/>
        <v>1.8721811315003642</v>
      </c>
      <c r="N13" s="189">
        <f t="shared" si="6"/>
        <v>2.8523260359655982</v>
      </c>
    </row>
    <row r="14" spans="1:19" hidden="1" outlineLevel="1">
      <c r="A14" s="180"/>
      <c r="B14" s="190" t="s">
        <v>726</v>
      </c>
      <c r="C14" s="186">
        <f t="shared" si="0"/>
        <v>-24.884674525884162</v>
      </c>
      <c r="E14" s="182">
        <v>314</v>
      </c>
      <c r="F14" s="183">
        <v>396</v>
      </c>
      <c r="G14" s="191">
        <f t="shared" si="1"/>
        <v>-20.707070707070706</v>
      </c>
      <c r="H14" s="188">
        <f t="shared" si="2"/>
        <v>1.1160476275102187</v>
      </c>
      <c r="I14" s="188">
        <f t="shared" si="3"/>
        <v>1.7960812772133528</v>
      </c>
      <c r="J14" s="182">
        <v>2931</v>
      </c>
      <c r="K14" s="183">
        <v>3902</v>
      </c>
      <c r="L14" s="191">
        <f t="shared" si="4"/>
        <v>-24.884674525884162</v>
      </c>
      <c r="M14" s="188">
        <f t="shared" si="5"/>
        <v>1.3959203501469266</v>
      </c>
      <c r="N14" s="189">
        <f t="shared" si="6"/>
        <v>1.9067630961688822</v>
      </c>
    </row>
    <row r="15" spans="1:19" hidden="1" outlineLevel="1">
      <c r="A15" s="180"/>
      <c r="B15" s="190" t="s">
        <v>728</v>
      </c>
      <c r="C15" s="186">
        <f t="shared" si="0"/>
        <v>225.20325203252031</v>
      </c>
      <c r="E15" s="182">
        <v>221</v>
      </c>
      <c r="F15" s="183">
        <v>350</v>
      </c>
      <c r="G15" s="191">
        <f t="shared" si="1"/>
        <v>-36.857142857142854</v>
      </c>
      <c r="H15" s="188">
        <f t="shared" si="2"/>
        <v>0.78549848942598199</v>
      </c>
      <c r="I15" s="188">
        <f t="shared" si="3"/>
        <v>1.58744557329463</v>
      </c>
      <c r="J15" s="182">
        <v>2400</v>
      </c>
      <c r="K15" s="183">
        <v>738</v>
      </c>
      <c r="L15" s="191">
        <f t="shared" si="4"/>
        <v>225.20325203252031</v>
      </c>
      <c r="M15" s="188">
        <f t="shared" si="5"/>
        <v>1.1430258752482509</v>
      </c>
      <c r="N15" s="189">
        <f t="shared" si="6"/>
        <v>0.36063330727130571</v>
      </c>
    </row>
    <row r="16" spans="1:19" hidden="1" outlineLevel="1">
      <c r="A16" s="180"/>
      <c r="B16" s="190" t="s">
        <v>727</v>
      </c>
      <c r="C16" s="186">
        <f t="shared" si="0"/>
        <v>-10.277136258660507</v>
      </c>
      <c r="E16" s="182">
        <v>167</v>
      </c>
      <c r="F16" s="183">
        <v>133</v>
      </c>
      <c r="G16" s="191">
        <f t="shared" si="1"/>
        <v>25.563909774436087</v>
      </c>
      <c r="H16" s="188">
        <f t="shared" si="2"/>
        <v>0.59356673182868314</v>
      </c>
      <c r="I16" s="188">
        <f t="shared" si="3"/>
        <v>0.60322931785195932</v>
      </c>
      <c r="J16" s="182">
        <v>1554</v>
      </c>
      <c r="K16" s="183">
        <v>1732</v>
      </c>
      <c r="L16" s="191">
        <f t="shared" si="4"/>
        <v>-10.277136258660507</v>
      </c>
      <c r="M16" s="188">
        <f t="shared" si="5"/>
        <v>0.74010925422324247</v>
      </c>
      <c r="N16" s="189">
        <f t="shared" si="6"/>
        <v>0.8463643471462079</v>
      </c>
    </row>
    <row r="17" spans="1:14" hidden="1" outlineLevel="1">
      <c r="A17" s="180"/>
      <c r="B17" s="190" t="s">
        <v>729</v>
      </c>
      <c r="C17" s="186">
        <f t="shared" si="0"/>
        <v>44.561403508771932</v>
      </c>
      <c r="E17" s="182">
        <v>56</v>
      </c>
      <c r="F17" s="183">
        <v>38</v>
      </c>
      <c r="G17" s="191">
        <f t="shared" si="1"/>
        <v>47.368421052631575</v>
      </c>
      <c r="H17" s="188">
        <f t="shared" si="2"/>
        <v>0.19904034121201347</v>
      </c>
      <c r="I17" s="188">
        <f t="shared" si="3"/>
        <v>0.1723512336719884</v>
      </c>
      <c r="J17" s="182">
        <v>412</v>
      </c>
      <c r="K17" s="183">
        <v>285</v>
      </c>
      <c r="L17" s="191">
        <f t="shared" si="4"/>
        <v>44.561403508771932</v>
      </c>
      <c r="M17" s="188">
        <f t="shared" si="5"/>
        <v>0.19621944191761642</v>
      </c>
      <c r="N17" s="189">
        <f t="shared" si="6"/>
        <v>0.13926896012509773</v>
      </c>
    </row>
    <row r="18" spans="1:14" hidden="1" outlineLevel="1">
      <c r="A18" s="180"/>
      <c r="B18" s="190" t="s">
        <v>1141</v>
      </c>
      <c r="C18" s="186">
        <f t="shared" si="0"/>
        <v>-100</v>
      </c>
      <c r="E18" s="182">
        <v>0</v>
      </c>
      <c r="F18" s="183">
        <v>0</v>
      </c>
      <c r="G18" s="191" t="str">
        <f t="shared" si="1"/>
        <v/>
      </c>
      <c r="H18" s="188" t="str">
        <f t="shared" si="2"/>
        <v/>
      </c>
      <c r="I18" s="188" t="str">
        <f t="shared" si="3"/>
        <v/>
      </c>
      <c r="J18" s="182">
        <v>0</v>
      </c>
      <c r="K18" s="183">
        <v>1</v>
      </c>
      <c r="L18" s="191">
        <f t="shared" si="4"/>
        <v>-100</v>
      </c>
      <c r="M18" s="188" t="str">
        <f t="shared" si="5"/>
        <v/>
      </c>
      <c r="N18" s="189">
        <f t="shared" si="6"/>
        <v>4.8866301798279903E-4</v>
      </c>
    </row>
    <row r="19" spans="1:14" collapsed="1">
      <c r="A19" s="180" t="s">
        <v>1242</v>
      </c>
      <c r="B19" s="179" t="s">
        <v>740</v>
      </c>
      <c r="C19" s="186">
        <f t="shared" si="0"/>
        <v>-6.6445182724252497E-2</v>
      </c>
      <c r="E19" s="182">
        <v>3340</v>
      </c>
      <c r="F19" s="183">
        <v>2717</v>
      </c>
      <c r="G19" s="191">
        <f t="shared" si="1"/>
        <v>22.9297018770703</v>
      </c>
      <c r="H19" s="188">
        <f t="shared" si="2"/>
        <v>11.871334636573664</v>
      </c>
      <c r="I19" s="188">
        <f t="shared" si="3"/>
        <v>12.32311320754717</v>
      </c>
      <c r="J19" s="182">
        <v>24064</v>
      </c>
      <c r="K19" s="183">
        <v>24080</v>
      </c>
      <c r="L19" s="191">
        <f t="shared" si="4"/>
        <v>-6.6445182724252497E-2</v>
      </c>
      <c r="M19" s="188">
        <f t="shared" si="5"/>
        <v>11.460739442489128</v>
      </c>
      <c r="N19" s="189">
        <f t="shared" si="6"/>
        <v>11.767005473025801</v>
      </c>
    </row>
    <row r="20" spans="1:14" hidden="1" outlineLevel="1">
      <c r="A20" s="180"/>
      <c r="B20" s="190" t="s">
        <v>741</v>
      </c>
      <c r="C20" s="186">
        <f t="shared" si="0"/>
        <v>37.891180654338548</v>
      </c>
      <c r="E20" s="182">
        <v>1229</v>
      </c>
      <c r="F20" s="183">
        <v>595</v>
      </c>
      <c r="G20" s="191">
        <f t="shared" si="1"/>
        <v>106.5546218487395</v>
      </c>
      <c r="H20" s="188">
        <f t="shared" si="2"/>
        <v>4.3682246312422253</v>
      </c>
      <c r="I20" s="188">
        <f t="shared" si="3"/>
        <v>2.6986574746008709</v>
      </c>
      <c r="J20" s="182">
        <v>7755</v>
      </c>
      <c r="K20" s="183">
        <v>5624</v>
      </c>
      <c r="L20" s="191">
        <f t="shared" si="4"/>
        <v>37.891180654338548</v>
      </c>
      <c r="M20" s="188">
        <f t="shared" si="5"/>
        <v>3.6934023593959107</v>
      </c>
      <c r="N20" s="189">
        <f t="shared" si="6"/>
        <v>2.7482408131352618</v>
      </c>
    </row>
    <row r="21" spans="1:14" hidden="1" outlineLevel="1">
      <c r="A21" s="180"/>
      <c r="B21" s="190" t="s">
        <v>743</v>
      </c>
      <c r="C21" s="186">
        <f t="shared" si="0"/>
        <v>-35.708651064948725</v>
      </c>
      <c r="E21" s="182">
        <v>350</v>
      </c>
      <c r="F21" s="183">
        <v>526</v>
      </c>
      <c r="G21" s="191">
        <f t="shared" si="1"/>
        <v>-33.460076045627375</v>
      </c>
      <c r="H21" s="188">
        <f t="shared" si="2"/>
        <v>1.2440021325750843</v>
      </c>
      <c r="I21" s="188">
        <f t="shared" si="3"/>
        <v>2.3857039187227866</v>
      </c>
      <c r="J21" s="182">
        <v>2445</v>
      </c>
      <c r="K21" s="183">
        <v>3803</v>
      </c>
      <c r="L21" s="191">
        <f t="shared" si="4"/>
        <v>-35.708651064948725</v>
      </c>
      <c r="M21" s="188">
        <f t="shared" si="5"/>
        <v>1.1644576104091557</v>
      </c>
      <c r="N21" s="189">
        <f t="shared" si="6"/>
        <v>1.858385457388585</v>
      </c>
    </row>
    <row r="22" spans="1:14" hidden="1" outlineLevel="1">
      <c r="A22" s="180"/>
      <c r="B22" s="190" t="s">
        <v>745</v>
      </c>
      <c r="C22" s="186">
        <f t="shared" si="0"/>
        <v>-22.762050497322111</v>
      </c>
      <c r="E22" s="182">
        <v>232</v>
      </c>
      <c r="F22" s="183">
        <v>398</v>
      </c>
      <c r="G22" s="191">
        <f t="shared" si="1"/>
        <v>-41.708542713567837</v>
      </c>
      <c r="H22" s="188">
        <f t="shared" si="2"/>
        <v>0.82459569930691312</v>
      </c>
      <c r="I22" s="188">
        <f t="shared" si="3"/>
        <v>1.8051523947750363</v>
      </c>
      <c r="J22" s="182">
        <v>2019</v>
      </c>
      <c r="K22" s="183">
        <v>2614</v>
      </c>
      <c r="L22" s="191">
        <f t="shared" si="4"/>
        <v>-22.762050497322111</v>
      </c>
      <c r="M22" s="188">
        <f t="shared" si="5"/>
        <v>0.96157051755259104</v>
      </c>
      <c r="N22" s="189">
        <f t="shared" si="6"/>
        <v>1.2773651290070367</v>
      </c>
    </row>
    <row r="23" spans="1:14" hidden="1" outlineLevel="1">
      <c r="A23" s="180"/>
      <c r="B23" s="190" t="s">
        <v>748</v>
      </c>
      <c r="C23" s="186">
        <f t="shared" si="0"/>
        <v>84.337349397590373</v>
      </c>
      <c r="E23" s="182">
        <v>213</v>
      </c>
      <c r="F23" s="183">
        <v>135</v>
      </c>
      <c r="G23" s="191">
        <f t="shared" si="1"/>
        <v>57.777777777777771</v>
      </c>
      <c r="H23" s="188">
        <f t="shared" si="2"/>
        <v>0.75706415496712287</v>
      </c>
      <c r="I23" s="188">
        <f t="shared" si="3"/>
        <v>0.61230043541364298</v>
      </c>
      <c r="J23" s="182">
        <v>1989</v>
      </c>
      <c r="K23" s="183">
        <v>1079</v>
      </c>
      <c r="L23" s="191">
        <f t="shared" si="4"/>
        <v>84.337349397590373</v>
      </c>
      <c r="M23" s="188">
        <f t="shared" si="5"/>
        <v>0.94728269411198807</v>
      </c>
      <c r="N23" s="189">
        <f t="shared" si="6"/>
        <v>0.52726739640344022</v>
      </c>
    </row>
    <row r="24" spans="1:14" hidden="1" outlineLevel="1">
      <c r="A24" s="180"/>
      <c r="B24" s="190" t="s">
        <v>742</v>
      </c>
      <c r="C24" s="186">
        <f t="shared" si="0"/>
        <v>-35.877106045589692</v>
      </c>
      <c r="E24" s="182">
        <v>273</v>
      </c>
      <c r="F24" s="183">
        <v>199</v>
      </c>
      <c r="G24" s="191">
        <f t="shared" si="1"/>
        <v>37.185929648241206</v>
      </c>
      <c r="H24" s="188">
        <f t="shared" si="2"/>
        <v>0.97032166340856574</v>
      </c>
      <c r="I24" s="188">
        <f t="shared" si="3"/>
        <v>0.90257619738751815</v>
      </c>
      <c r="J24" s="182">
        <v>1941</v>
      </c>
      <c r="K24" s="183">
        <v>3027</v>
      </c>
      <c r="L24" s="191">
        <f t="shared" si="4"/>
        <v>-35.877106045589692</v>
      </c>
      <c r="M24" s="188">
        <f t="shared" si="5"/>
        <v>0.92442217660702297</v>
      </c>
      <c r="N24" s="189">
        <f t="shared" si="6"/>
        <v>1.4791829554339326</v>
      </c>
    </row>
    <row r="25" spans="1:14" hidden="1" outlineLevel="1">
      <c r="A25" s="180"/>
      <c r="B25" s="190" t="s">
        <v>744</v>
      </c>
      <c r="C25" s="186">
        <f t="shared" si="0"/>
        <v>-37.651413189771198</v>
      </c>
      <c r="E25" s="182">
        <v>328</v>
      </c>
      <c r="F25" s="183">
        <v>293</v>
      </c>
      <c r="G25" s="191">
        <f t="shared" si="1"/>
        <v>11.945392491467576</v>
      </c>
      <c r="H25" s="188">
        <f t="shared" si="2"/>
        <v>1.165807712813222</v>
      </c>
      <c r="I25" s="188">
        <f t="shared" si="3"/>
        <v>1.3289187227866472</v>
      </c>
      <c r="J25" s="182">
        <v>1853</v>
      </c>
      <c r="K25" s="183">
        <v>2972</v>
      </c>
      <c r="L25" s="191">
        <f t="shared" si="4"/>
        <v>-37.651413189771198</v>
      </c>
      <c r="M25" s="188">
        <f t="shared" si="5"/>
        <v>0.88251122784792047</v>
      </c>
      <c r="N25" s="189">
        <f t="shared" si="6"/>
        <v>1.4523064894448787</v>
      </c>
    </row>
    <row r="26" spans="1:14" hidden="1" outlineLevel="1">
      <c r="A26" s="180"/>
      <c r="B26" s="190" t="s">
        <v>751</v>
      </c>
      <c r="C26" s="186">
        <f t="shared" si="0"/>
        <v>101.4992503748126</v>
      </c>
      <c r="E26" s="182">
        <v>208</v>
      </c>
      <c r="F26" s="183">
        <v>198</v>
      </c>
      <c r="G26" s="191">
        <f t="shared" si="1"/>
        <v>5.0505050505050502</v>
      </c>
      <c r="H26" s="188">
        <f t="shared" si="2"/>
        <v>0.73929269593033586</v>
      </c>
      <c r="I26" s="188">
        <f t="shared" si="3"/>
        <v>0.89804063860667638</v>
      </c>
      <c r="J26" s="182">
        <v>1344</v>
      </c>
      <c r="K26" s="183">
        <v>667</v>
      </c>
      <c r="L26" s="191">
        <f t="shared" si="4"/>
        <v>101.4992503748126</v>
      </c>
      <c r="M26" s="188">
        <f t="shared" si="5"/>
        <v>0.64009449013902053</v>
      </c>
      <c r="N26" s="189">
        <f t="shared" si="6"/>
        <v>0.32593823299452696</v>
      </c>
    </row>
    <row r="27" spans="1:14" hidden="1" outlineLevel="1">
      <c r="A27" s="180"/>
      <c r="B27" s="190" t="s">
        <v>747</v>
      </c>
      <c r="C27" s="186">
        <f t="shared" si="0"/>
        <v>5.7889822595704947</v>
      </c>
      <c r="E27" s="182">
        <v>82</v>
      </c>
      <c r="F27" s="183">
        <v>87</v>
      </c>
      <c r="G27" s="191">
        <f t="shared" si="1"/>
        <v>-5.7471264367816088</v>
      </c>
      <c r="H27" s="188">
        <f t="shared" si="2"/>
        <v>0.29145192820330551</v>
      </c>
      <c r="I27" s="188">
        <f t="shared" si="3"/>
        <v>0.39459361393323655</v>
      </c>
      <c r="J27" s="182">
        <v>1133</v>
      </c>
      <c r="K27" s="183">
        <v>1071</v>
      </c>
      <c r="L27" s="191">
        <f t="shared" si="4"/>
        <v>5.7889822595704947</v>
      </c>
      <c r="M27" s="188">
        <f t="shared" si="5"/>
        <v>0.53960346527344516</v>
      </c>
      <c r="N27" s="189">
        <f t="shared" si="6"/>
        <v>0.52335809225957786</v>
      </c>
    </row>
    <row r="28" spans="1:14" hidden="1" outlineLevel="1">
      <c r="A28" s="180"/>
      <c r="B28" s="190" t="s">
        <v>746</v>
      </c>
      <c r="C28" s="186">
        <f t="shared" si="0"/>
        <v>-17.81450872359963</v>
      </c>
      <c r="E28" s="182">
        <v>92</v>
      </c>
      <c r="F28" s="183">
        <v>86</v>
      </c>
      <c r="G28" s="191">
        <f t="shared" si="1"/>
        <v>6.9767441860465116</v>
      </c>
      <c r="H28" s="188">
        <f t="shared" si="2"/>
        <v>0.3269948462768793</v>
      </c>
      <c r="I28" s="188">
        <f t="shared" si="3"/>
        <v>0.39005805515239478</v>
      </c>
      <c r="J28" s="182">
        <v>895</v>
      </c>
      <c r="K28" s="183">
        <v>1089</v>
      </c>
      <c r="L28" s="191">
        <f t="shared" si="4"/>
        <v>-17.81450872359963</v>
      </c>
      <c r="M28" s="188">
        <f t="shared" si="5"/>
        <v>0.42625339931132694</v>
      </c>
      <c r="N28" s="189">
        <f t="shared" si="6"/>
        <v>0.53215402658326816</v>
      </c>
    </row>
    <row r="29" spans="1:14" hidden="1" outlineLevel="1">
      <c r="A29" s="180"/>
      <c r="B29" s="190" t="s">
        <v>1016</v>
      </c>
      <c r="C29" s="186" t="str">
        <f t="shared" si="0"/>
        <v/>
      </c>
      <c r="E29" s="182">
        <v>89</v>
      </c>
      <c r="F29" s="183">
        <v>0</v>
      </c>
      <c r="G29" s="191" t="str">
        <f t="shared" si="1"/>
        <v/>
      </c>
      <c r="H29" s="188">
        <f t="shared" si="2"/>
        <v>0.31633197085480719</v>
      </c>
      <c r="I29" s="188" t="str">
        <f t="shared" si="3"/>
        <v/>
      </c>
      <c r="J29" s="182">
        <v>654</v>
      </c>
      <c r="K29" s="183">
        <v>0</v>
      </c>
      <c r="L29" s="191" t="str">
        <f t="shared" si="4"/>
        <v/>
      </c>
      <c r="M29" s="188">
        <f t="shared" si="5"/>
        <v>0.31147455100514837</v>
      </c>
      <c r="N29" s="189" t="str">
        <f t="shared" si="6"/>
        <v/>
      </c>
    </row>
    <row r="30" spans="1:14" hidden="1" outlineLevel="1">
      <c r="A30" s="180"/>
      <c r="B30" s="190" t="s">
        <v>750</v>
      </c>
      <c r="C30" s="186">
        <f t="shared" si="0"/>
        <v>-13.14935064935065</v>
      </c>
      <c r="E30" s="182">
        <v>61</v>
      </c>
      <c r="F30" s="183">
        <v>65</v>
      </c>
      <c r="G30" s="191">
        <f t="shared" si="1"/>
        <v>-6.1538461538461542</v>
      </c>
      <c r="H30" s="188">
        <f t="shared" si="2"/>
        <v>0.21681180024880042</v>
      </c>
      <c r="I30" s="188">
        <f t="shared" si="3"/>
        <v>0.294811320754717</v>
      </c>
      <c r="J30" s="182">
        <v>535</v>
      </c>
      <c r="K30" s="183">
        <v>616</v>
      </c>
      <c r="L30" s="191">
        <f t="shared" si="4"/>
        <v>-13.14935064935065</v>
      </c>
      <c r="M30" s="188">
        <f t="shared" si="5"/>
        <v>0.25479951802408929</v>
      </c>
      <c r="N30" s="189">
        <f t="shared" si="6"/>
        <v>0.30101641907740423</v>
      </c>
    </row>
    <row r="31" spans="1:14" hidden="1" outlineLevel="1">
      <c r="A31" s="180"/>
      <c r="B31" s="190" t="s">
        <v>752</v>
      </c>
      <c r="C31" s="186">
        <f t="shared" si="0"/>
        <v>47.196261682242991</v>
      </c>
      <c r="E31" s="182">
        <v>46</v>
      </c>
      <c r="F31" s="183">
        <v>19</v>
      </c>
      <c r="G31" s="191">
        <f t="shared" si="1"/>
        <v>142.10526315789474</v>
      </c>
      <c r="H31" s="188">
        <f t="shared" si="2"/>
        <v>0.16349742313843965</v>
      </c>
      <c r="I31" s="188">
        <f t="shared" si="3"/>
        <v>8.6175616835994201E-2</v>
      </c>
      <c r="J31" s="182">
        <v>315</v>
      </c>
      <c r="K31" s="183">
        <v>214</v>
      </c>
      <c r="L31" s="191">
        <f t="shared" si="4"/>
        <v>47.196261682242991</v>
      </c>
      <c r="M31" s="188">
        <f t="shared" si="5"/>
        <v>0.15002214612633294</v>
      </c>
      <c r="N31" s="189">
        <f t="shared" si="6"/>
        <v>0.104573885848319</v>
      </c>
    </row>
    <row r="32" spans="1:14" hidden="1" outlineLevel="1">
      <c r="A32" s="180"/>
      <c r="B32" s="190" t="s">
        <v>753</v>
      </c>
      <c r="C32" s="186">
        <f t="shared" si="0"/>
        <v>38.70967741935484</v>
      </c>
      <c r="E32" s="182">
        <v>47</v>
      </c>
      <c r="F32" s="183">
        <v>30</v>
      </c>
      <c r="G32" s="191">
        <f t="shared" si="1"/>
        <v>56.666666666666664</v>
      </c>
      <c r="H32" s="188">
        <f t="shared" si="2"/>
        <v>0.16705171494579707</v>
      </c>
      <c r="I32" s="188">
        <f t="shared" si="3"/>
        <v>0.13606676342525398</v>
      </c>
      <c r="J32" s="182">
        <v>301</v>
      </c>
      <c r="K32" s="183">
        <v>217</v>
      </c>
      <c r="L32" s="191">
        <f t="shared" si="4"/>
        <v>38.70967741935484</v>
      </c>
      <c r="M32" s="188">
        <f t="shared" si="5"/>
        <v>0.1433544951873848</v>
      </c>
      <c r="N32" s="189">
        <f t="shared" si="6"/>
        <v>0.10603987490226739</v>
      </c>
    </row>
    <row r="33" spans="1:14" hidden="1" outlineLevel="1">
      <c r="A33" s="180"/>
      <c r="B33" s="190" t="s">
        <v>755</v>
      </c>
      <c r="C33" s="186">
        <f t="shared" si="0"/>
        <v>126.5625</v>
      </c>
      <c r="E33" s="182">
        <v>28</v>
      </c>
      <c r="F33" s="183">
        <v>17</v>
      </c>
      <c r="G33" s="191">
        <f t="shared" si="1"/>
        <v>64.705882352941174</v>
      </c>
      <c r="H33" s="188">
        <f t="shared" si="2"/>
        <v>9.9520170606006736E-2</v>
      </c>
      <c r="I33" s="188">
        <f t="shared" si="3"/>
        <v>7.7104499274310595E-2</v>
      </c>
      <c r="J33" s="182">
        <v>290</v>
      </c>
      <c r="K33" s="183">
        <v>128</v>
      </c>
      <c r="L33" s="191">
        <f t="shared" si="4"/>
        <v>126.5625</v>
      </c>
      <c r="M33" s="188">
        <f t="shared" si="5"/>
        <v>0.13811562659249699</v>
      </c>
      <c r="N33" s="189">
        <f t="shared" si="6"/>
        <v>6.2548866301798275E-2</v>
      </c>
    </row>
    <row r="34" spans="1:14" hidden="1" outlineLevel="1">
      <c r="A34" s="180"/>
      <c r="B34" s="190" t="s">
        <v>749</v>
      </c>
      <c r="C34" s="186">
        <f t="shared" si="0"/>
        <v>-62.229617304492514</v>
      </c>
      <c r="E34" s="182">
        <v>22</v>
      </c>
      <c r="F34" s="183">
        <v>50</v>
      </c>
      <c r="G34" s="191">
        <f t="shared" si="1"/>
        <v>-56.000000000000007</v>
      </c>
      <c r="H34" s="188">
        <f t="shared" si="2"/>
        <v>7.8194419761862449E-2</v>
      </c>
      <c r="I34" s="188">
        <f t="shared" si="3"/>
        <v>0.22677793904208998</v>
      </c>
      <c r="J34" s="182">
        <v>227</v>
      </c>
      <c r="K34" s="183">
        <v>601</v>
      </c>
      <c r="L34" s="191">
        <f t="shared" si="4"/>
        <v>-62.229617304492514</v>
      </c>
      <c r="M34" s="188">
        <f t="shared" si="5"/>
        <v>0.1081111973672304</v>
      </c>
      <c r="N34" s="189">
        <f t="shared" si="6"/>
        <v>0.29368647380766222</v>
      </c>
    </row>
    <row r="35" spans="1:14" hidden="1" outlineLevel="1">
      <c r="A35" s="180"/>
      <c r="B35" s="190" t="s">
        <v>758</v>
      </c>
      <c r="C35" s="186">
        <f t="shared" si="0"/>
        <v>156.14035087719299</v>
      </c>
      <c r="E35" s="182">
        <v>10</v>
      </c>
      <c r="F35" s="183">
        <v>5</v>
      </c>
      <c r="G35" s="191">
        <f t="shared" si="1"/>
        <v>100</v>
      </c>
      <c r="H35" s="188">
        <f t="shared" si="2"/>
        <v>3.5542918073573841E-2</v>
      </c>
      <c r="I35" s="188">
        <f t="shared" si="3"/>
        <v>2.2677793904208998E-2</v>
      </c>
      <c r="J35" s="182">
        <v>146</v>
      </c>
      <c r="K35" s="183">
        <v>57</v>
      </c>
      <c r="L35" s="191">
        <f t="shared" si="4"/>
        <v>156.14035087719299</v>
      </c>
      <c r="M35" s="188">
        <f t="shared" si="5"/>
        <v>6.9534074077601926E-2</v>
      </c>
      <c r="N35" s="189">
        <f t="shared" si="6"/>
        <v>2.7853792025019548E-2</v>
      </c>
    </row>
    <row r="36" spans="1:14" hidden="1" outlineLevel="1">
      <c r="A36" s="180"/>
      <c r="B36" s="190" t="s">
        <v>756</v>
      </c>
      <c r="C36" s="186">
        <f t="shared" si="0"/>
        <v>9.6491228070175428</v>
      </c>
      <c r="E36" s="182">
        <v>19</v>
      </c>
      <c r="F36" s="183">
        <v>7</v>
      </c>
      <c r="G36" s="191">
        <f t="shared" si="1"/>
        <v>171.42857142857142</v>
      </c>
      <c r="H36" s="188">
        <f t="shared" si="2"/>
        <v>6.7531544339790292E-2</v>
      </c>
      <c r="I36" s="188">
        <f t="shared" si="3"/>
        <v>3.17489114658926E-2</v>
      </c>
      <c r="J36" s="182">
        <v>125</v>
      </c>
      <c r="K36" s="183">
        <v>114</v>
      </c>
      <c r="L36" s="191">
        <f t="shared" si="4"/>
        <v>9.6491228070175428</v>
      </c>
      <c r="M36" s="188">
        <f t="shared" si="5"/>
        <v>5.9532597669179739E-2</v>
      </c>
      <c r="N36" s="189">
        <f t="shared" si="6"/>
        <v>5.5707584050039095E-2</v>
      </c>
    </row>
    <row r="37" spans="1:14" hidden="1" outlineLevel="1">
      <c r="A37" s="180"/>
      <c r="B37" s="190" t="s">
        <v>757</v>
      </c>
      <c r="C37" s="186">
        <f t="shared" si="0"/>
        <v>56.451612903225815</v>
      </c>
      <c r="E37" s="182">
        <v>11</v>
      </c>
      <c r="F37" s="183">
        <v>3</v>
      </c>
      <c r="G37" s="191">
        <f t="shared" si="1"/>
        <v>266.66666666666663</v>
      </c>
      <c r="H37" s="188">
        <f t="shared" si="2"/>
        <v>3.9097209880931225E-2</v>
      </c>
      <c r="I37" s="188">
        <f t="shared" si="3"/>
        <v>1.3606676342525399E-2</v>
      </c>
      <c r="J37" s="182">
        <v>97</v>
      </c>
      <c r="K37" s="183">
        <v>62</v>
      </c>
      <c r="L37" s="191">
        <f t="shared" si="4"/>
        <v>56.451612903225815</v>
      </c>
      <c r="M37" s="188">
        <f t="shared" si="5"/>
        <v>4.6197295791283476E-2</v>
      </c>
      <c r="N37" s="189">
        <f t="shared" si="6"/>
        <v>3.0297107114933542E-2</v>
      </c>
    </row>
    <row r="38" spans="1:14" hidden="1" outlineLevel="1">
      <c r="A38" s="180"/>
      <c r="B38" s="190" t="s">
        <v>754</v>
      </c>
      <c r="C38" s="186">
        <f t="shared" si="0"/>
        <v>-100</v>
      </c>
      <c r="E38" s="182">
        <v>0</v>
      </c>
      <c r="F38" s="183">
        <v>4</v>
      </c>
      <c r="G38" s="191">
        <f t="shared" si="1"/>
        <v>-100</v>
      </c>
      <c r="H38" s="188" t="str">
        <f t="shared" si="2"/>
        <v/>
      </c>
      <c r="I38" s="188">
        <f t="shared" si="3"/>
        <v>1.8142235123367198E-2</v>
      </c>
      <c r="J38" s="182">
        <v>0</v>
      </c>
      <c r="K38" s="183">
        <v>125</v>
      </c>
      <c r="L38" s="191">
        <f t="shared" si="4"/>
        <v>-100</v>
      </c>
      <c r="M38" s="188" t="str">
        <f t="shared" si="5"/>
        <v/>
      </c>
      <c r="N38" s="189">
        <f t="shared" si="6"/>
        <v>6.108287724784988E-2</v>
      </c>
    </row>
    <row r="39" spans="1:14" collapsed="1">
      <c r="A39" s="180" t="s">
        <v>1284</v>
      </c>
      <c r="B39" s="179" t="s">
        <v>272</v>
      </c>
      <c r="C39" s="186">
        <f t="shared" si="0"/>
        <v>-24.97833622183709</v>
      </c>
      <c r="E39" s="182">
        <v>2282</v>
      </c>
      <c r="F39" s="183">
        <v>2336</v>
      </c>
      <c r="G39" s="191">
        <f t="shared" si="1"/>
        <v>-2.3116438356164384</v>
      </c>
      <c r="H39" s="188">
        <f t="shared" si="2"/>
        <v>8.1108939043895507</v>
      </c>
      <c r="I39" s="188">
        <f t="shared" si="3"/>
        <v>10.595065312046444</v>
      </c>
      <c r="J39" s="182">
        <v>17315</v>
      </c>
      <c r="K39" s="183">
        <v>23080</v>
      </c>
      <c r="L39" s="191">
        <f t="shared" si="4"/>
        <v>-24.97833622183709</v>
      </c>
      <c r="M39" s="188">
        <f t="shared" si="5"/>
        <v>8.2464554291347767</v>
      </c>
      <c r="N39" s="189">
        <f t="shared" si="6"/>
        <v>11.278342455043003</v>
      </c>
    </row>
    <row r="40" spans="1:14" hidden="1" outlineLevel="1">
      <c r="A40" s="180"/>
      <c r="B40" s="190" t="s">
        <v>730</v>
      </c>
      <c r="C40" s="186">
        <f t="shared" si="0"/>
        <v>-40.997427836524722</v>
      </c>
      <c r="E40" s="182">
        <v>704</v>
      </c>
      <c r="F40" s="183">
        <v>803</v>
      </c>
      <c r="G40" s="191">
        <f t="shared" si="1"/>
        <v>-12.328767123287671</v>
      </c>
      <c r="H40" s="188">
        <f t="shared" si="2"/>
        <v>2.5022214323795984</v>
      </c>
      <c r="I40" s="188">
        <f t="shared" si="3"/>
        <v>3.6420537010159655</v>
      </c>
      <c r="J40" s="182">
        <v>4129</v>
      </c>
      <c r="K40" s="183">
        <v>6998</v>
      </c>
      <c r="L40" s="191">
        <f t="shared" si="4"/>
        <v>-40.997427836524722</v>
      </c>
      <c r="M40" s="188">
        <f t="shared" si="5"/>
        <v>1.966480766208345</v>
      </c>
      <c r="N40" s="189">
        <f t="shared" si="6"/>
        <v>3.4196637998436281</v>
      </c>
    </row>
    <row r="41" spans="1:14" hidden="1" outlineLevel="1">
      <c r="A41" s="180"/>
      <c r="B41" s="190" t="s">
        <v>731</v>
      </c>
      <c r="C41" s="186">
        <f t="shared" si="0"/>
        <v>-46.448653447765608</v>
      </c>
      <c r="E41" s="182">
        <v>429</v>
      </c>
      <c r="F41" s="183">
        <v>482</v>
      </c>
      <c r="G41" s="191">
        <f t="shared" si="1"/>
        <v>-10.995850622406639</v>
      </c>
      <c r="H41" s="188">
        <f t="shared" si="2"/>
        <v>1.5247911853563179</v>
      </c>
      <c r="I41" s="188">
        <f t="shared" si="3"/>
        <v>2.1861393323657476</v>
      </c>
      <c r="J41" s="182">
        <v>3619</v>
      </c>
      <c r="K41" s="183">
        <v>6758</v>
      </c>
      <c r="L41" s="191">
        <f t="shared" si="4"/>
        <v>-46.448653447765608</v>
      </c>
      <c r="M41" s="188">
        <f t="shared" si="5"/>
        <v>1.7235877677180915</v>
      </c>
      <c r="N41" s="189">
        <f t="shared" si="6"/>
        <v>3.3023846755277559</v>
      </c>
    </row>
    <row r="42" spans="1:14" hidden="1" outlineLevel="1">
      <c r="A42" s="180"/>
      <c r="B42" s="190" t="s">
        <v>733</v>
      </c>
      <c r="C42" s="186">
        <f t="shared" si="0"/>
        <v>30.81459638776262</v>
      </c>
      <c r="E42" s="182">
        <v>291</v>
      </c>
      <c r="F42" s="183">
        <v>295</v>
      </c>
      <c r="G42" s="191">
        <f t="shared" si="1"/>
        <v>-1.3559322033898304</v>
      </c>
      <c r="H42" s="188">
        <f t="shared" si="2"/>
        <v>1.0342989159409988</v>
      </c>
      <c r="I42" s="188">
        <f t="shared" si="3"/>
        <v>1.3379898403483308</v>
      </c>
      <c r="J42" s="182">
        <v>3549</v>
      </c>
      <c r="K42" s="183">
        <v>2713</v>
      </c>
      <c r="L42" s="191">
        <f t="shared" si="4"/>
        <v>30.81459638776262</v>
      </c>
      <c r="M42" s="188">
        <f t="shared" si="5"/>
        <v>1.6902495130233512</v>
      </c>
      <c r="N42" s="189">
        <f t="shared" si="6"/>
        <v>1.3257427677873337</v>
      </c>
    </row>
    <row r="43" spans="1:14" hidden="1" outlineLevel="1">
      <c r="A43" s="180"/>
      <c r="B43" s="190" t="s">
        <v>732</v>
      </c>
      <c r="C43" s="186">
        <f t="shared" si="0"/>
        <v>-7.0892410341951626</v>
      </c>
      <c r="E43" s="182">
        <v>419</v>
      </c>
      <c r="F43" s="183">
        <v>475</v>
      </c>
      <c r="G43" s="191">
        <f t="shared" si="1"/>
        <v>-11.789473684210526</v>
      </c>
      <c r="H43" s="188">
        <f t="shared" si="2"/>
        <v>1.4892482672827441</v>
      </c>
      <c r="I43" s="188">
        <f t="shared" si="3"/>
        <v>2.1543904208998552</v>
      </c>
      <c r="J43" s="182">
        <v>3342</v>
      </c>
      <c r="K43" s="183">
        <v>3597</v>
      </c>
      <c r="L43" s="191">
        <f t="shared" si="4"/>
        <v>-7.0892410341951626</v>
      </c>
      <c r="M43" s="188">
        <f t="shared" si="5"/>
        <v>1.5916635312831895</v>
      </c>
      <c r="N43" s="189">
        <f t="shared" si="6"/>
        <v>1.757720875684128</v>
      </c>
    </row>
    <row r="44" spans="1:14" hidden="1" outlineLevel="1">
      <c r="A44" s="180"/>
      <c r="B44" s="190" t="s">
        <v>734</v>
      </c>
      <c r="C44" s="186">
        <f t="shared" si="0"/>
        <v>2.0345879959308242</v>
      </c>
      <c r="E44" s="182">
        <v>167</v>
      </c>
      <c r="F44" s="183">
        <v>49</v>
      </c>
      <c r="G44" s="191">
        <f t="shared" si="1"/>
        <v>240.81632653061226</v>
      </c>
      <c r="H44" s="188">
        <f t="shared" si="2"/>
        <v>0.59356673182868314</v>
      </c>
      <c r="I44" s="188">
        <f t="shared" si="3"/>
        <v>0.22224238026124821</v>
      </c>
      <c r="J44" s="182">
        <v>1003</v>
      </c>
      <c r="K44" s="183">
        <v>983</v>
      </c>
      <c r="L44" s="191">
        <f t="shared" si="4"/>
        <v>2.0345879959308242</v>
      </c>
      <c r="M44" s="188">
        <f t="shared" si="5"/>
        <v>0.47768956369749821</v>
      </c>
      <c r="N44" s="189">
        <f t="shared" si="6"/>
        <v>0.48035574667709147</v>
      </c>
    </row>
    <row r="45" spans="1:14" hidden="1" outlineLevel="1">
      <c r="A45" s="180"/>
      <c r="B45" s="190" t="s">
        <v>736</v>
      </c>
      <c r="C45" s="186">
        <f t="shared" si="0"/>
        <v>27.288135593220336</v>
      </c>
      <c r="E45" s="182">
        <v>97</v>
      </c>
      <c r="F45" s="183">
        <v>40</v>
      </c>
      <c r="G45" s="191">
        <f t="shared" si="1"/>
        <v>142.5</v>
      </c>
      <c r="H45" s="188">
        <f t="shared" si="2"/>
        <v>0.34476630531366625</v>
      </c>
      <c r="I45" s="188">
        <f t="shared" si="3"/>
        <v>0.18142235123367198</v>
      </c>
      <c r="J45" s="182">
        <v>751</v>
      </c>
      <c r="K45" s="183">
        <v>590</v>
      </c>
      <c r="L45" s="191">
        <f t="shared" si="4"/>
        <v>27.288135593220336</v>
      </c>
      <c r="M45" s="188">
        <f t="shared" si="5"/>
        <v>0.35767184679643182</v>
      </c>
      <c r="N45" s="189">
        <f t="shared" si="6"/>
        <v>0.28831118060985145</v>
      </c>
    </row>
    <row r="46" spans="1:14" hidden="1" outlineLevel="1">
      <c r="A46" s="180"/>
      <c r="B46" s="190" t="s">
        <v>735</v>
      </c>
      <c r="C46" s="186">
        <f t="shared" si="0"/>
        <v>18.211382113821138</v>
      </c>
      <c r="E46" s="182">
        <v>119</v>
      </c>
      <c r="F46" s="183">
        <v>104</v>
      </c>
      <c r="G46" s="191">
        <f t="shared" si="1"/>
        <v>14.423076923076922</v>
      </c>
      <c r="H46" s="188">
        <f t="shared" si="2"/>
        <v>0.42296072507552868</v>
      </c>
      <c r="I46" s="188">
        <f t="shared" si="3"/>
        <v>0.47169811320754718</v>
      </c>
      <c r="J46" s="182">
        <v>727</v>
      </c>
      <c r="K46" s="183">
        <v>615</v>
      </c>
      <c r="L46" s="191">
        <f t="shared" si="4"/>
        <v>18.211382113821138</v>
      </c>
      <c r="M46" s="188">
        <f t="shared" si="5"/>
        <v>0.34624158804394933</v>
      </c>
      <c r="N46" s="189">
        <f t="shared" si="6"/>
        <v>0.30052775605942139</v>
      </c>
    </row>
    <row r="47" spans="1:14" hidden="1" outlineLevel="1">
      <c r="A47" s="180"/>
      <c r="B47" s="190" t="s">
        <v>738</v>
      </c>
      <c r="C47" s="186">
        <f t="shared" si="0"/>
        <v>-45.3125</v>
      </c>
      <c r="E47" s="182">
        <v>56</v>
      </c>
      <c r="F47" s="183">
        <v>27</v>
      </c>
      <c r="G47" s="191">
        <f t="shared" si="1"/>
        <v>107.40740740740742</v>
      </c>
      <c r="H47" s="188">
        <f t="shared" si="2"/>
        <v>0.19904034121201347</v>
      </c>
      <c r="I47" s="188">
        <f t="shared" si="3"/>
        <v>0.12246008708272858</v>
      </c>
      <c r="J47" s="182">
        <v>175</v>
      </c>
      <c r="K47" s="183">
        <v>320</v>
      </c>
      <c r="L47" s="191">
        <f t="shared" si="4"/>
        <v>-45.3125</v>
      </c>
      <c r="M47" s="188">
        <f t="shared" si="5"/>
        <v>8.3345636736851636E-2</v>
      </c>
      <c r="N47" s="189">
        <f t="shared" si="6"/>
        <v>0.1563721657544957</v>
      </c>
    </row>
    <row r="48" spans="1:14" hidden="1" outlineLevel="1">
      <c r="A48" s="180"/>
      <c r="B48" s="190" t="s">
        <v>737</v>
      </c>
      <c r="C48" s="186">
        <f t="shared" si="0"/>
        <v>-95.991983967935866</v>
      </c>
      <c r="E48" s="182">
        <v>0</v>
      </c>
      <c r="F48" s="183">
        <v>61</v>
      </c>
      <c r="G48" s="191">
        <f t="shared" si="1"/>
        <v>-100</v>
      </c>
      <c r="H48" s="188" t="str">
        <f t="shared" si="2"/>
        <v/>
      </c>
      <c r="I48" s="188">
        <f t="shared" si="3"/>
        <v>0.27666908563134979</v>
      </c>
      <c r="J48" s="182">
        <v>20</v>
      </c>
      <c r="K48" s="183">
        <v>499</v>
      </c>
      <c r="L48" s="191">
        <f t="shared" si="4"/>
        <v>-95.991983967935866</v>
      </c>
      <c r="M48" s="188">
        <f t="shared" si="5"/>
        <v>9.5252156270687581E-3</v>
      </c>
      <c r="N48" s="189">
        <f t="shared" si="6"/>
        <v>0.24384284597341674</v>
      </c>
    </row>
    <row r="49" spans="1:14" hidden="1" outlineLevel="1">
      <c r="A49" s="180"/>
      <c r="B49" s="190" t="s">
        <v>739</v>
      </c>
      <c r="C49" s="186">
        <f t="shared" si="0"/>
        <v>-100</v>
      </c>
      <c r="E49" s="182">
        <v>0</v>
      </c>
      <c r="F49" s="183">
        <v>0</v>
      </c>
      <c r="G49" s="191" t="str">
        <f t="shared" si="1"/>
        <v/>
      </c>
      <c r="H49" s="188" t="str">
        <f t="shared" si="2"/>
        <v/>
      </c>
      <c r="I49" s="188" t="str">
        <f t="shared" si="3"/>
        <v/>
      </c>
      <c r="J49" s="182">
        <v>0</v>
      </c>
      <c r="K49" s="183">
        <v>7</v>
      </c>
      <c r="L49" s="191">
        <f t="shared" si="4"/>
        <v>-100</v>
      </c>
      <c r="M49" s="188" t="str">
        <f t="shared" si="5"/>
        <v/>
      </c>
      <c r="N49" s="189">
        <f t="shared" si="6"/>
        <v>3.4206411258795935E-3</v>
      </c>
    </row>
    <row r="50" spans="1:14" collapsed="1">
      <c r="A50" s="180" t="s">
        <v>1285</v>
      </c>
      <c r="B50" s="179" t="s">
        <v>292</v>
      </c>
      <c r="C50" s="186">
        <f t="shared" si="0"/>
        <v>-1.994269340974212</v>
      </c>
      <c r="E50" s="182">
        <v>1891</v>
      </c>
      <c r="F50" s="183">
        <v>1999</v>
      </c>
      <c r="G50" s="191">
        <f t="shared" si="1"/>
        <v>-5.4027013506753372</v>
      </c>
      <c r="H50" s="188">
        <f t="shared" si="2"/>
        <v>6.7211658077128131</v>
      </c>
      <c r="I50" s="188">
        <f t="shared" si="3"/>
        <v>9.0665820029027575</v>
      </c>
      <c r="J50" s="182">
        <v>17102</v>
      </c>
      <c r="K50" s="183">
        <v>17450</v>
      </c>
      <c r="L50" s="191">
        <f t="shared" si="4"/>
        <v>-1.994269340974212</v>
      </c>
      <c r="M50" s="188">
        <f t="shared" si="5"/>
        <v>8.1450118827064948</v>
      </c>
      <c r="N50" s="189">
        <f t="shared" si="6"/>
        <v>8.5271696637998442</v>
      </c>
    </row>
    <row r="51" spans="1:14" hidden="1" outlineLevel="1">
      <c r="A51" s="180"/>
      <c r="B51" s="190" t="s">
        <v>759</v>
      </c>
      <c r="C51" s="186">
        <f t="shared" si="0"/>
        <v>-13.058702368692071</v>
      </c>
      <c r="E51" s="182">
        <v>661</v>
      </c>
      <c r="F51" s="183">
        <v>623</v>
      </c>
      <c r="G51" s="191">
        <f t="shared" si="1"/>
        <v>6.0995184590690208</v>
      </c>
      <c r="H51" s="188">
        <f t="shared" si="2"/>
        <v>2.3493868846632306</v>
      </c>
      <c r="I51" s="188">
        <f t="shared" si="3"/>
        <v>2.8256531204644415</v>
      </c>
      <c r="J51" s="182">
        <v>4221</v>
      </c>
      <c r="K51" s="183">
        <v>4855</v>
      </c>
      <c r="L51" s="191">
        <f t="shared" si="4"/>
        <v>-13.058702368692071</v>
      </c>
      <c r="M51" s="188">
        <f t="shared" si="5"/>
        <v>2.0102967580928612</v>
      </c>
      <c r="N51" s="189">
        <f t="shared" si="6"/>
        <v>2.3724589523064896</v>
      </c>
    </row>
    <row r="52" spans="1:14" hidden="1" outlineLevel="1">
      <c r="A52" s="180"/>
      <c r="B52" s="190" t="s">
        <v>760</v>
      </c>
      <c r="C52" s="186">
        <f t="shared" si="0"/>
        <v>-27.913631633714882</v>
      </c>
      <c r="E52" s="182">
        <v>257</v>
      </c>
      <c r="F52" s="183">
        <v>284</v>
      </c>
      <c r="G52" s="191">
        <f t="shared" si="1"/>
        <v>-9.5070422535211261</v>
      </c>
      <c r="H52" s="188">
        <f t="shared" si="2"/>
        <v>0.91345299449084771</v>
      </c>
      <c r="I52" s="188">
        <f t="shared" si="3"/>
        <v>1.288098693759071</v>
      </c>
      <c r="J52" s="182">
        <v>2771</v>
      </c>
      <c r="K52" s="183">
        <v>3844</v>
      </c>
      <c r="L52" s="191">
        <f t="shared" si="4"/>
        <v>-27.913631633714882</v>
      </c>
      <c r="M52" s="188">
        <f t="shared" si="5"/>
        <v>1.3197186251303763</v>
      </c>
      <c r="N52" s="189">
        <f t="shared" si="6"/>
        <v>1.8784206411258795</v>
      </c>
    </row>
    <row r="53" spans="1:14" hidden="1" outlineLevel="1">
      <c r="A53" s="180"/>
      <c r="B53" s="190" t="s">
        <v>763</v>
      </c>
      <c r="C53" s="186">
        <f t="shared" si="0"/>
        <v>19.990913221263064</v>
      </c>
      <c r="E53" s="182">
        <v>152</v>
      </c>
      <c r="F53" s="183">
        <v>181</v>
      </c>
      <c r="G53" s="191">
        <f t="shared" si="1"/>
        <v>-16.022099447513813</v>
      </c>
      <c r="H53" s="188">
        <f t="shared" si="2"/>
        <v>0.54025235471832234</v>
      </c>
      <c r="I53" s="188">
        <f t="shared" si="3"/>
        <v>0.82093613933236564</v>
      </c>
      <c r="J53" s="182">
        <v>2641</v>
      </c>
      <c r="K53" s="183">
        <v>2201</v>
      </c>
      <c r="L53" s="191">
        <f t="shared" si="4"/>
        <v>19.990913221263064</v>
      </c>
      <c r="M53" s="188">
        <f t="shared" si="5"/>
        <v>1.2578047235544294</v>
      </c>
      <c r="N53" s="189">
        <f t="shared" si="6"/>
        <v>1.0755473025801408</v>
      </c>
    </row>
    <row r="54" spans="1:14" hidden="1" outlineLevel="1">
      <c r="A54" s="180"/>
      <c r="B54" s="190" t="s">
        <v>761</v>
      </c>
      <c r="C54" s="186">
        <f t="shared" si="0"/>
        <v>-19.501366120218581</v>
      </c>
      <c r="E54" s="182">
        <v>213</v>
      </c>
      <c r="F54" s="183">
        <v>518</v>
      </c>
      <c r="G54" s="191">
        <f t="shared" si="1"/>
        <v>-58.880308880308888</v>
      </c>
      <c r="H54" s="188">
        <f t="shared" si="2"/>
        <v>0.75706415496712287</v>
      </c>
      <c r="I54" s="188">
        <f t="shared" si="3"/>
        <v>2.3494194484760524</v>
      </c>
      <c r="J54" s="182">
        <v>2357</v>
      </c>
      <c r="K54" s="183">
        <v>2928</v>
      </c>
      <c r="L54" s="191">
        <f t="shared" si="4"/>
        <v>-19.501366120218581</v>
      </c>
      <c r="M54" s="188">
        <f t="shared" si="5"/>
        <v>1.122546661650053</v>
      </c>
      <c r="N54" s="189">
        <f t="shared" si="6"/>
        <v>1.4308053166536356</v>
      </c>
    </row>
    <row r="55" spans="1:14" hidden="1" outlineLevel="1">
      <c r="A55" s="180"/>
      <c r="B55" s="190" t="s">
        <v>1018</v>
      </c>
      <c r="C55" s="186" t="str">
        <f t="shared" si="0"/>
        <v/>
      </c>
      <c r="E55" s="182">
        <v>233</v>
      </c>
      <c r="F55" s="183">
        <v>0</v>
      </c>
      <c r="G55" s="191" t="str">
        <f t="shared" si="1"/>
        <v/>
      </c>
      <c r="H55" s="188">
        <f t="shared" si="2"/>
        <v>0.82814999111427046</v>
      </c>
      <c r="I55" s="188" t="str">
        <f t="shared" si="3"/>
        <v/>
      </c>
      <c r="J55" s="182">
        <v>1683</v>
      </c>
      <c r="K55" s="183">
        <v>0</v>
      </c>
      <c r="L55" s="191" t="str">
        <f t="shared" si="4"/>
        <v/>
      </c>
      <c r="M55" s="188">
        <f t="shared" si="5"/>
        <v>0.80154689501783594</v>
      </c>
      <c r="N55" s="189" t="str">
        <f t="shared" si="6"/>
        <v/>
      </c>
    </row>
    <row r="56" spans="1:14" hidden="1" outlineLevel="1">
      <c r="A56" s="180"/>
      <c r="B56" s="190" t="s">
        <v>762</v>
      </c>
      <c r="C56" s="186">
        <f t="shared" si="0"/>
        <v>-35.489510489510486</v>
      </c>
      <c r="E56" s="182">
        <v>178</v>
      </c>
      <c r="F56" s="183">
        <v>135</v>
      </c>
      <c r="G56" s="191">
        <f t="shared" si="1"/>
        <v>31.851851851851855</v>
      </c>
      <c r="H56" s="188">
        <f t="shared" si="2"/>
        <v>0.63266394170961437</v>
      </c>
      <c r="I56" s="188">
        <f t="shared" si="3"/>
        <v>0.61230043541364298</v>
      </c>
      <c r="J56" s="182">
        <v>1476</v>
      </c>
      <c r="K56" s="183">
        <v>2288</v>
      </c>
      <c r="L56" s="191">
        <f t="shared" si="4"/>
        <v>-35.489510489510486</v>
      </c>
      <c r="M56" s="188">
        <f t="shared" si="5"/>
        <v>0.7029609132776744</v>
      </c>
      <c r="N56" s="189">
        <f t="shared" si="6"/>
        <v>1.1180609851446441</v>
      </c>
    </row>
    <row r="57" spans="1:14" hidden="1" outlineLevel="1">
      <c r="A57" s="180"/>
      <c r="B57" s="190" t="s">
        <v>1142</v>
      </c>
      <c r="C57" s="186">
        <f t="shared" si="0"/>
        <v>960</v>
      </c>
      <c r="E57" s="182">
        <v>113</v>
      </c>
      <c r="F57" s="183">
        <v>0</v>
      </c>
      <c r="G57" s="191" t="str">
        <f t="shared" si="1"/>
        <v/>
      </c>
      <c r="H57" s="188">
        <f t="shared" si="2"/>
        <v>0.40163497423138439</v>
      </c>
      <c r="I57" s="188" t="str">
        <f t="shared" si="3"/>
        <v/>
      </c>
      <c r="J57" s="182">
        <v>1007</v>
      </c>
      <c r="K57" s="183">
        <v>95</v>
      </c>
      <c r="L57" s="191">
        <f t="shared" si="4"/>
        <v>960</v>
      </c>
      <c r="M57" s="188">
        <f t="shared" si="5"/>
        <v>0.47959460682291188</v>
      </c>
      <c r="N57" s="189">
        <f t="shared" si="6"/>
        <v>4.6422986708365914E-2</v>
      </c>
    </row>
    <row r="58" spans="1:14" hidden="1" outlineLevel="1">
      <c r="A58" s="180"/>
      <c r="B58" s="190" t="s">
        <v>764</v>
      </c>
      <c r="C58" s="186">
        <f t="shared" si="0"/>
        <v>-17.766497461928935</v>
      </c>
      <c r="E58" s="182">
        <v>19</v>
      </c>
      <c r="F58" s="183">
        <v>160</v>
      </c>
      <c r="G58" s="191">
        <f t="shared" si="1"/>
        <v>-88.125</v>
      </c>
      <c r="H58" s="188">
        <f t="shared" si="2"/>
        <v>6.7531544339790292E-2</v>
      </c>
      <c r="I58" s="188">
        <f t="shared" si="3"/>
        <v>0.72568940493468792</v>
      </c>
      <c r="J58" s="182">
        <v>486</v>
      </c>
      <c r="K58" s="183">
        <v>591</v>
      </c>
      <c r="L58" s="191">
        <f t="shared" si="4"/>
        <v>-17.766497461928935</v>
      </c>
      <c r="M58" s="188">
        <f t="shared" si="5"/>
        <v>0.23146273973777082</v>
      </c>
      <c r="N58" s="189">
        <f t="shared" si="6"/>
        <v>0.28879984362783429</v>
      </c>
    </row>
    <row r="59" spans="1:14" hidden="1" outlineLevel="1">
      <c r="A59" s="180"/>
      <c r="B59" s="190" t="s">
        <v>766</v>
      </c>
      <c r="C59" s="186">
        <f t="shared" si="0"/>
        <v>-25.899280575539567</v>
      </c>
      <c r="E59" s="182">
        <v>29</v>
      </c>
      <c r="F59" s="183">
        <v>50</v>
      </c>
      <c r="G59" s="191">
        <f t="shared" si="1"/>
        <v>-42</v>
      </c>
      <c r="H59" s="188">
        <f t="shared" si="2"/>
        <v>0.10307446241336414</v>
      </c>
      <c r="I59" s="188">
        <f t="shared" si="3"/>
        <v>0.22677793904208998</v>
      </c>
      <c r="J59" s="182">
        <v>206</v>
      </c>
      <c r="K59" s="183">
        <v>278</v>
      </c>
      <c r="L59" s="191">
        <f t="shared" si="4"/>
        <v>-25.899280575539567</v>
      </c>
      <c r="M59" s="188">
        <f t="shared" si="5"/>
        <v>9.8109720958808211E-2</v>
      </c>
      <c r="N59" s="189">
        <f t="shared" si="6"/>
        <v>0.13584831899921815</v>
      </c>
    </row>
    <row r="60" spans="1:14" hidden="1" outlineLevel="1">
      <c r="A60" s="180"/>
      <c r="B60" s="190" t="s">
        <v>765</v>
      </c>
      <c r="C60" s="186">
        <f t="shared" si="0"/>
        <v>-51.094890510948908</v>
      </c>
      <c r="E60" s="182">
        <v>21</v>
      </c>
      <c r="F60" s="183">
        <v>35</v>
      </c>
      <c r="G60" s="191">
        <f t="shared" si="1"/>
        <v>-40</v>
      </c>
      <c r="H60" s="188">
        <f t="shared" si="2"/>
        <v>7.4640127954505073E-2</v>
      </c>
      <c r="I60" s="188">
        <f t="shared" si="3"/>
        <v>0.15874455732946299</v>
      </c>
      <c r="J60" s="182">
        <v>134</v>
      </c>
      <c r="K60" s="183">
        <v>274</v>
      </c>
      <c r="L60" s="191">
        <f t="shared" si="4"/>
        <v>-51.094890510948908</v>
      </c>
      <c r="M60" s="188">
        <f t="shared" si="5"/>
        <v>6.381894470136068E-2</v>
      </c>
      <c r="N60" s="189">
        <f t="shared" si="6"/>
        <v>0.13389366692728696</v>
      </c>
    </row>
    <row r="61" spans="1:14" hidden="1" outlineLevel="1">
      <c r="A61" s="180"/>
      <c r="B61" s="190" t="s">
        <v>767</v>
      </c>
      <c r="C61" s="186">
        <f t="shared" si="0"/>
        <v>-16.666666666666664</v>
      </c>
      <c r="E61" s="182">
        <v>4</v>
      </c>
      <c r="F61" s="183">
        <v>2</v>
      </c>
      <c r="G61" s="191">
        <f t="shared" si="1"/>
        <v>100</v>
      </c>
      <c r="H61" s="188">
        <f t="shared" si="2"/>
        <v>1.4217167229429537E-2</v>
      </c>
      <c r="I61" s="188">
        <f t="shared" si="3"/>
        <v>9.071117561683599E-3</v>
      </c>
      <c r="J61" s="182">
        <v>35</v>
      </c>
      <c r="K61" s="183">
        <v>42</v>
      </c>
      <c r="L61" s="191">
        <f t="shared" si="4"/>
        <v>-16.666666666666664</v>
      </c>
      <c r="M61" s="188">
        <f t="shared" si="5"/>
        <v>1.6669127347370326E-2</v>
      </c>
      <c r="N61" s="189">
        <f t="shared" si="6"/>
        <v>2.0523846755277561E-2</v>
      </c>
    </row>
    <row r="62" spans="1:14" hidden="1" outlineLevel="1">
      <c r="A62" s="180"/>
      <c r="B62" s="190" t="s">
        <v>769</v>
      </c>
      <c r="C62" s="186">
        <f t="shared" si="0"/>
        <v>20.689655172413794</v>
      </c>
      <c r="E62" s="182">
        <v>0</v>
      </c>
      <c r="F62" s="183">
        <v>9</v>
      </c>
      <c r="G62" s="191">
        <f t="shared" si="1"/>
        <v>-100</v>
      </c>
      <c r="H62" s="188" t="str">
        <f t="shared" si="2"/>
        <v/>
      </c>
      <c r="I62" s="188">
        <f t="shared" si="3"/>
        <v>4.0820029027576199E-2</v>
      </c>
      <c r="J62" s="182">
        <v>35</v>
      </c>
      <c r="K62" s="183">
        <v>29</v>
      </c>
      <c r="L62" s="191">
        <f t="shared" si="4"/>
        <v>20.689655172413794</v>
      </c>
      <c r="M62" s="188">
        <f t="shared" si="5"/>
        <v>1.6669127347370326E-2</v>
      </c>
      <c r="N62" s="189">
        <f t="shared" si="6"/>
        <v>1.4171227521501172E-2</v>
      </c>
    </row>
    <row r="63" spans="1:14" hidden="1" outlineLevel="1">
      <c r="A63" s="180"/>
      <c r="B63" s="190" t="s">
        <v>1017</v>
      </c>
      <c r="C63" s="186" t="str">
        <f t="shared" si="0"/>
        <v/>
      </c>
      <c r="E63" s="182">
        <v>6</v>
      </c>
      <c r="F63" s="183">
        <v>0</v>
      </c>
      <c r="G63" s="191" t="str">
        <f t="shared" si="1"/>
        <v/>
      </c>
      <c r="H63" s="188">
        <f t="shared" si="2"/>
        <v>2.1325750844144304E-2</v>
      </c>
      <c r="I63" s="188" t="str">
        <f t="shared" si="3"/>
        <v/>
      </c>
      <c r="J63" s="182">
        <v>26</v>
      </c>
      <c r="K63" s="183">
        <v>0</v>
      </c>
      <c r="L63" s="191" t="str">
        <f t="shared" si="4"/>
        <v/>
      </c>
      <c r="M63" s="188">
        <f t="shared" si="5"/>
        <v>1.2382780315189386E-2</v>
      </c>
      <c r="N63" s="189" t="str">
        <f t="shared" si="6"/>
        <v/>
      </c>
    </row>
    <row r="64" spans="1:14" hidden="1" outlineLevel="1">
      <c r="A64" s="180"/>
      <c r="B64" s="190" t="s">
        <v>771</v>
      </c>
      <c r="C64" s="186">
        <f t="shared" si="0"/>
        <v>433.33333333333331</v>
      </c>
      <c r="E64" s="182">
        <v>4</v>
      </c>
      <c r="F64" s="183">
        <v>0</v>
      </c>
      <c r="G64" s="191" t="str">
        <f t="shared" si="1"/>
        <v/>
      </c>
      <c r="H64" s="188">
        <f t="shared" si="2"/>
        <v>1.4217167229429537E-2</v>
      </c>
      <c r="I64" s="188" t="str">
        <f t="shared" si="3"/>
        <v/>
      </c>
      <c r="J64" s="182">
        <v>16</v>
      </c>
      <c r="K64" s="183">
        <v>3</v>
      </c>
      <c r="L64" s="191">
        <f t="shared" si="4"/>
        <v>433.33333333333331</v>
      </c>
      <c r="M64" s="188">
        <f t="shared" si="5"/>
        <v>7.6201725016550063E-3</v>
      </c>
      <c r="N64" s="189">
        <f t="shared" si="6"/>
        <v>1.4659890539483972E-3</v>
      </c>
    </row>
    <row r="65" spans="1:14" hidden="1" outlineLevel="1">
      <c r="A65" s="180"/>
      <c r="B65" s="190" t="s">
        <v>770</v>
      </c>
      <c r="C65" s="186">
        <f t="shared" si="0"/>
        <v>20</v>
      </c>
      <c r="E65" s="182">
        <v>1</v>
      </c>
      <c r="F65" s="183">
        <v>2</v>
      </c>
      <c r="G65" s="191">
        <f t="shared" si="1"/>
        <v>-50</v>
      </c>
      <c r="H65" s="188">
        <f t="shared" si="2"/>
        <v>3.5542918073573843E-3</v>
      </c>
      <c r="I65" s="188">
        <f t="shared" si="3"/>
        <v>9.071117561683599E-3</v>
      </c>
      <c r="J65" s="182">
        <v>6</v>
      </c>
      <c r="K65" s="183">
        <v>5</v>
      </c>
      <c r="L65" s="191">
        <f t="shared" si="4"/>
        <v>20</v>
      </c>
      <c r="M65" s="188">
        <f t="shared" si="5"/>
        <v>2.8575646881206273E-3</v>
      </c>
      <c r="N65" s="189">
        <f t="shared" si="6"/>
        <v>2.4433150899139952E-3</v>
      </c>
    </row>
    <row r="66" spans="1:14" hidden="1" outlineLevel="1">
      <c r="A66" s="180"/>
      <c r="B66" s="190" t="s">
        <v>772</v>
      </c>
      <c r="C66" s="186">
        <f t="shared" si="0"/>
        <v>0</v>
      </c>
      <c r="E66" s="182">
        <v>0</v>
      </c>
      <c r="F66" s="183">
        <v>0</v>
      </c>
      <c r="G66" s="191" t="str">
        <f t="shared" si="1"/>
        <v/>
      </c>
      <c r="H66" s="188" t="str">
        <f t="shared" si="2"/>
        <v/>
      </c>
      <c r="I66" s="188" t="str">
        <f t="shared" si="3"/>
        <v/>
      </c>
      <c r="J66" s="182">
        <v>2</v>
      </c>
      <c r="K66" s="183">
        <v>2</v>
      </c>
      <c r="L66" s="191">
        <f t="shared" si="4"/>
        <v>0</v>
      </c>
      <c r="M66" s="188">
        <f t="shared" si="5"/>
        <v>9.5252156270687579E-4</v>
      </c>
      <c r="N66" s="189">
        <f t="shared" si="6"/>
        <v>9.7732603596559805E-4</v>
      </c>
    </row>
    <row r="67" spans="1:14" hidden="1" outlineLevel="1">
      <c r="A67" s="180"/>
      <c r="B67" s="190" t="s">
        <v>768</v>
      </c>
      <c r="C67" s="186">
        <f t="shared" si="0"/>
        <v>-100</v>
      </c>
      <c r="E67" s="182">
        <v>0</v>
      </c>
      <c r="F67" s="183">
        <v>0</v>
      </c>
      <c r="G67" s="191" t="str">
        <f t="shared" si="1"/>
        <v/>
      </c>
      <c r="H67" s="188" t="str">
        <f t="shared" si="2"/>
        <v/>
      </c>
      <c r="I67" s="188" t="str">
        <f t="shared" si="3"/>
        <v/>
      </c>
      <c r="J67" s="182">
        <v>0</v>
      </c>
      <c r="K67" s="183">
        <v>15</v>
      </c>
      <c r="L67" s="191">
        <f t="shared" si="4"/>
        <v>-100</v>
      </c>
      <c r="M67" s="188" t="str">
        <f t="shared" si="5"/>
        <v/>
      </c>
      <c r="N67" s="189">
        <f t="shared" si="6"/>
        <v>7.3299452697419866E-3</v>
      </c>
    </row>
    <row r="68" spans="1:14" collapsed="1">
      <c r="A68" s="180" t="s">
        <v>1228</v>
      </c>
      <c r="B68" s="179" t="s">
        <v>291</v>
      </c>
      <c r="C68" s="186">
        <f t="shared" si="0"/>
        <v>134.76320713977256</v>
      </c>
      <c r="E68" s="182">
        <v>3164</v>
      </c>
      <c r="F68" s="183">
        <v>915</v>
      </c>
      <c r="G68" s="191">
        <f t="shared" si="1"/>
        <v>245.79234972677594</v>
      </c>
      <c r="H68" s="188">
        <f t="shared" si="2"/>
        <v>11.245779278478762</v>
      </c>
      <c r="I68" s="188">
        <f t="shared" si="3"/>
        <v>4.1500362844702465</v>
      </c>
      <c r="J68" s="182">
        <v>16309</v>
      </c>
      <c r="K68" s="183">
        <v>6947</v>
      </c>
      <c r="L68" s="191">
        <f t="shared" si="4"/>
        <v>134.76320713977256</v>
      </c>
      <c r="M68" s="188">
        <f t="shared" si="5"/>
        <v>7.7673370830932189</v>
      </c>
      <c r="N68" s="189">
        <f t="shared" si="6"/>
        <v>3.3947419859265047</v>
      </c>
    </row>
    <row r="69" spans="1:14" hidden="1" outlineLevel="1">
      <c r="A69" s="180"/>
      <c r="B69" s="190" t="s">
        <v>843</v>
      </c>
      <c r="C69" s="186">
        <f t="shared" si="0"/>
        <v>175.138008587201</v>
      </c>
      <c r="E69" s="182">
        <v>3050</v>
      </c>
      <c r="F69" s="183">
        <v>431</v>
      </c>
      <c r="G69" s="191">
        <f t="shared" si="1"/>
        <v>607.65661252900236</v>
      </c>
      <c r="H69" s="188">
        <f t="shared" si="2"/>
        <v>10.840590012440021</v>
      </c>
      <c r="I69" s="188">
        <f t="shared" si="3"/>
        <v>1.9548258345428158</v>
      </c>
      <c r="J69" s="182">
        <v>13457</v>
      </c>
      <c r="K69" s="183">
        <v>4891</v>
      </c>
      <c r="L69" s="191">
        <f t="shared" si="4"/>
        <v>175.138008587201</v>
      </c>
      <c r="M69" s="188">
        <f t="shared" si="5"/>
        <v>6.4090413346732138</v>
      </c>
      <c r="N69" s="189">
        <f t="shared" si="6"/>
        <v>2.3900508209538702</v>
      </c>
    </row>
    <row r="70" spans="1:14" hidden="1" outlineLevel="1">
      <c r="A70" s="180"/>
      <c r="B70" s="190" t="s">
        <v>844</v>
      </c>
      <c r="C70" s="186">
        <f t="shared" si="0"/>
        <v>0.53501945525291827</v>
      </c>
      <c r="E70" s="182">
        <v>51</v>
      </c>
      <c r="F70" s="183">
        <v>484</v>
      </c>
      <c r="G70" s="191">
        <f t="shared" si="1"/>
        <v>-89.462809917355372</v>
      </c>
      <c r="H70" s="188">
        <f t="shared" si="2"/>
        <v>0.18126888217522658</v>
      </c>
      <c r="I70" s="188">
        <f t="shared" si="3"/>
        <v>2.1952104499274308</v>
      </c>
      <c r="J70" s="182">
        <v>2067</v>
      </c>
      <c r="K70" s="183">
        <v>2056</v>
      </c>
      <c r="L70" s="191">
        <f t="shared" si="4"/>
        <v>0.53501945525291827</v>
      </c>
      <c r="M70" s="188">
        <f t="shared" si="5"/>
        <v>0.98443103505755614</v>
      </c>
      <c r="N70" s="189">
        <f t="shared" si="6"/>
        <v>1.0046911649726349</v>
      </c>
    </row>
    <row r="71" spans="1:14" hidden="1" outlineLevel="1">
      <c r="A71" s="180"/>
      <c r="B71" s="190" t="s">
        <v>1043</v>
      </c>
      <c r="C71" s="186" t="str">
        <f t="shared" si="0"/>
        <v/>
      </c>
      <c r="E71" s="182">
        <v>41</v>
      </c>
      <c r="F71" s="183">
        <v>0</v>
      </c>
      <c r="G71" s="191" t="str">
        <f t="shared" si="1"/>
        <v/>
      </c>
      <c r="H71" s="188">
        <f t="shared" si="2"/>
        <v>0.14572596410165276</v>
      </c>
      <c r="I71" s="188" t="str">
        <f t="shared" si="3"/>
        <v/>
      </c>
      <c r="J71" s="182">
        <v>481</v>
      </c>
      <c r="K71" s="183">
        <v>0</v>
      </c>
      <c r="L71" s="191" t="str">
        <f t="shared" si="4"/>
        <v/>
      </c>
      <c r="M71" s="188">
        <f t="shared" si="5"/>
        <v>0.2290814358310036</v>
      </c>
      <c r="N71" s="189" t="str">
        <f t="shared" si="6"/>
        <v/>
      </c>
    </row>
    <row r="72" spans="1:14" hidden="1" outlineLevel="1">
      <c r="A72" s="180"/>
      <c r="B72" s="190" t="s">
        <v>845</v>
      </c>
      <c r="C72" s="186" t="str">
        <f t="shared" si="0"/>
        <v/>
      </c>
      <c r="E72" s="182">
        <v>22</v>
      </c>
      <c r="F72" s="183">
        <v>0</v>
      </c>
      <c r="G72" s="191" t="str">
        <f t="shared" si="1"/>
        <v/>
      </c>
      <c r="H72" s="188">
        <f t="shared" si="2"/>
        <v>7.8194419761862449E-2</v>
      </c>
      <c r="I72" s="188" t="str">
        <f t="shared" si="3"/>
        <v/>
      </c>
      <c r="J72" s="182">
        <v>304</v>
      </c>
      <c r="K72" s="183">
        <v>0</v>
      </c>
      <c r="L72" s="191" t="str">
        <f t="shared" si="4"/>
        <v/>
      </c>
      <c r="M72" s="188">
        <f t="shared" si="5"/>
        <v>0.1447832775314451</v>
      </c>
      <c r="N72" s="189" t="str">
        <f t="shared" si="6"/>
        <v/>
      </c>
    </row>
    <row r="73" spans="1:14" collapsed="1">
      <c r="A73" s="180" t="s">
        <v>1165</v>
      </c>
      <c r="B73" s="179" t="s">
        <v>259</v>
      </c>
      <c r="C73" s="186">
        <f t="shared" si="0"/>
        <v>41.780298898221886</v>
      </c>
      <c r="E73" s="182">
        <v>1500</v>
      </c>
      <c r="F73" s="183">
        <v>971</v>
      </c>
      <c r="G73" s="191">
        <f t="shared" si="1"/>
        <v>54.479917610710601</v>
      </c>
      <c r="H73" s="188">
        <f t="shared" si="2"/>
        <v>5.3314377110360756</v>
      </c>
      <c r="I73" s="188">
        <f t="shared" si="3"/>
        <v>4.4040275761973877</v>
      </c>
      <c r="J73" s="182">
        <v>12997</v>
      </c>
      <c r="K73" s="183">
        <v>9167</v>
      </c>
      <c r="L73" s="191">
        <f t="shared" si="4"/>
        <v>41.780298898221886</v>
      </c>
      <c r="M73" s="188">
        <f t="shared" si="5"/>
        <v>6.1899613752506317</v>
      </c>
      <c r="N73" s="189">
        <f t="shared" si="6"/>
        <v>4.4795738858483185</v>
      </c>
    </row>
    <row r="74" spans="1:14" hidden="1" outlineLevel="1">
      <c r="A74" s="180"/>
      <c r="B74" s="190" t="s">
        <v>816</v>
      </c>
      <c r="C74" s="186">
        <f t="shared" ref="C74:C137" si="7">IF(K74=0,"",SUM(((J74-K74)/K74)*100))</f>
        <v>93.294881038211969</v>
      </c>
      <c r="E74" s="182">
        <v>339</v>
      </c>
      <c r="F74" s="183">
        <v>145</v>
      </c>
      <c r="G74" s="191">
        <f t="shared" ref="G74:G137" si="8">IF(F74=0,"",SUM(((E74-F74)/F74)*100))</f>
        <v>133.79310344827587</v>
      </c>
      <c r="H74" s="188">
        <f t="shared" ref="H74:H137" si="9">IF(E74=0,"",SUM((E74/CntPeriod)*100))</f>
        <v>1.2049049226941533</v>
      </c>
      <c r="I74" s="188">
        <f t="shared" ref="I74:I137" si="10">IF(F74=0,"",SUM((F74/CntPeriodPrevYear)*100))</f>
        <v>0.65765602322206096</v>
      </c>
      <c r="J74" s="182">
        <v>2681</v>
      </c>
      <c r="K74" s="183">
        <v>1387</v>
      </c>
      <c r="L74" s="191">
        <f t="shared" ref="L74:L137" si="11">IF(K74=0,"",SUM(((J74-K74)/K74)*100))</f>
        <v>93.294881038211969</v>
      </c>
      <c r="M74" s="188">
        <f t="shared" ref="M74:M137" si="12">IF(J74=0,"",SUM((J74/CntYearAck)*100))</f>
        <v>1.2768551548085669</v>
      </c>
      <c r="N74" s="189">
        <f t="shared" ref="N74:N137" si="13">IF(K74=0,"",SUM((K74/CntPrevYearAck)*100))</f>
        <v>0.67777560594214226</v>
      </c>
    </row>
    <row r="75" spans="1:14" hidden="1" outlineLevel="1">
      <c r="A75" s="180"/>
      <c r="B75" s="190" t="s">
        <v>819</v>
      </c>
      <c r="C75" s="186">
        <f t="shared" si="7"/>
        <v>87.886825817860299</v>
      </c>
      <c r="E75" s="182">
        <v>236</v>
      </c>
      <c r="F75" s="183">
        <v>218</v>
      </c>
      <c r="G75" s="191">
        <f t="shared" si="8"/>
        <v>8.2568807339449553</v>
      </c>
      <c r="H75" s="188">
        <f t="shared" si="9"/>
        <v>0.83881286653634257</v>
      </c>
      <c r="I75" s="188">
        <f t="shared" si="10"/>
        <v>0.98875181422351222</v>
      </c>
      <c r="J75" s="182">
        <v>2125</v>
      </c>
      <c r="K75" s="183">
        <v>1131</v>
      </c>
      <c r="L75" s="191">
        <f t="shared" si="11"/>
        <v>87.886825817860299</v>
      </c>
      <c r="M75" s="188">
        <f t="shared" si="12"/>
        <v>1.0120541603760556</v>
      </c>
      <c r="N75" s="189">
        <f t="shared" si="13"/>
        <v>0.55267787333854579</v>
      </c>
    </row>
    <row r="76" spans="1:14" hidden="1" outlineLevel="1">
      <c r="A76" s="180"/>
      <c r="B76" s="190" t="s">
        <v>817</v>
      </c>
      <c r="C76" s="186">
        <f t="shared" si="7"/>
        <v>76.599474145486411</v>
      </c>
      <c r="E76" s="182">
        <v>207</v>
      </c>
      <c r="F76" s="183">
        <v>117</v>
      </c>
      <c r="G76" s="191">
        <f t="shared" si="8"/>
        <v>76.923076923076934</v>
      </c>
      <c r="H76" s="188">
        <f t="shared" si="9"/>
        <v>0.73573840412297853</v>
      </c>
      <c r="I76" s="188">
        <f t="shared" si="10"/>
        <v>0.53066037735849059</v>
      </c>
      <c r="J76" s="182">
        <v>2015</v>
      </c>
      <c r="K76" s="183">
        <v>1141</v>
      </c>
      <c r="L76" s="191">
        <f t="shared" si="11"/>
        <v>76.599474145486411</v>
      </c>
      <c r="M76" s="188">
        <f t="shared" si="12"/>
        <v>0.95966547442717742</v>
      </c>
      <c r="N76" s="189">
        <f t="shared" si="13"/>
        <v>0.55756450351837372</v>
      </c>
    </row>
    <row r="77" spans="1:14" hidden="1" outlineLevel="1">
      <c r="A77" s="180"/>
      <c r="B77" s="190" t="s">
        <v>815</v>
      </c>
      <c r="C77" s="186">
        <f t="shared" si="7"/>
        <v>-1.914241960183767</v>
      </c>
      <c r="E77" s="182">
        <v>170</v>
      </c>
      <c r="F77" s="183">
        <v>40</v>
      </c>
      <c r="G77" s="191">
        <f t="shared" si="8"/>
        <v>325</v>
      </c>
      <c r="H77" s="188">
        <f t="shared" si="9"/>
        <v>0.60422960725075525</v>
      </c>
      <c r="I77" s="188">
        <f t="shared" si="10"/>
        <v>0.18142235123367198</v>
      </c>
      <c r="J77" s="182">
        <v>1281</v>
      </c>
      <c r="K77" s="183">
        <v>1306</v>
      </c>
      <c r="L77" s="191">
        <f t="shared" si="11"/>
        <v>-1.914241960183767</v>
      </c>
      <c r="M77" s="188">
        <f t="shared" si="12"/>
        <v>0.61009006091375395</v>
      </c>
      <c r="N77" s="189">
        <f t="shared" si="13"/>
        <v>0.63819390148553556</v>
      </c>
    </row>
    <row r="78" spans="1:14" hidden="1" outlineLevel="1">
      <c r="A78" s="180"/>
      <c r="B78" s="190" t="s">
        <v>818</v>
      </c>
      <c r="C78" s="186">
        <f t="shared" si="7"/>
        <v>-18.815331010452962</v>
      </c>
      <c r="E78" s="182">
        <v>65</v>
      </c>
      <c r="F78" s="183">
        <v>114</v>
      </c>
      <c r="G78" s="191">
        <f t="shared" si="8"/>
        <v>-42.982456140350877</v>
      </c>
      <c r="H78" s="188">
        <f t="shared" si="9"/>
        <v>0.23102896747822996</v>
      </c>
      <c r="I78" s="188">
        <f t="shared" si="10"/>
        <v>0.51705370101596515</v>
      </c>
      <c r="J78" s="182">
        <v>932</v>
      </c>
      <c r="K78" s="183">
        <v>1148</v>
      </c>
      <c r="L78" s="191">
        <f t="shared" si="11"/>
        <v>-18.815331010452962</v>
      </c>
      <c r="M78" s="188">
        <f t="shared" si="12"/>
        <v>0.44387504822140411</v>
      </c>
      <c r="N78" s="189">
        <f t="shared" si="13"/>
        <v>0.56098514464425331</v>
      </c>
    </row>
    <row r="79" spans="1:14" hidden="1" outlineLevel="1">
      <c r="A79" s="180"/>
      <c r="B79" s="190" t="s">
        <v>823</v>
      </c>
      <c r="C79" s="186">
        <f t="shared" si="7"/>
        <v>104.68384074941453</v>
      </c>
      <c r="E79" s="182">
        <v>143</v>
      </c>
      <c r="F79" s="183">
        <v>68</v>
      </c>
      <c r="G79" s="191">
        <f t="shared" si="8"/>
        <v>110.29411764705883</v>
      </c>
      <c r="H79" s="188">
        <f t="shared" si="9"/>
        <v>0.50826372845210599</v>
      </c>
      <c r="I79" s="188">
        <f t="shared" si="10"/>
        <v>0.30841799709724238</v>
      </c>
      <c r="J79" s="182">
        <v>874</v>
      </c>
      <c r="K79" s="183">
        <v>427</v>
      </c>
      <c r="L79" s="191">
        <f t="shared" si="11"/>
        <v>104.68384074941453</v>
      </c>
      <c r="M79" s="188">
        <f t="shared" si="12"/>
        <v>0.41625192290290475</v>
      </c>
      <c r="N79" s="189">
        <f t="shared" si="13"/>
        <v>0.2086591086786552</v>
      </c>
    </row>
    <row r="80" spans="1:14" hidden="1" outlineLevel="1">
      <c r="A80" s="180"/>
      <c r="B80" s="190" t="s">
        <v>820</v>
      </c>
      <c r="C80" s="186">
        <f t="shared" si="7"/>
        <v>10.925449871465295</v>
      </c>
      <c r="E80" s="182">
        <v>98</v>
      </c>
      <c r="F80" s="183">
        <v>75</v>
      </c>
      <c r="G80" s="191">
        <f t="shared" si="8"/>
        <v>30.666666666666664</v>
      </c>
      <c r="H80" s="188">
        <f t="shared" si="9"/>
        <v>0.34832059712102365</v>
      </c>
      <c r="I80" s="188">
        <f t="shared" si="10"/>
        <v>0.34016690856313497</v>
      </c>
      <c r="J80" s="182">
        <v>863</v>
      </c>
      <c r="K80" s="183">
        <v>778</v>
      </c>
      <c r="L80" s="191">
        <f t="shared" si="11"/>
        <v>10.925449871465295</v>
      </c>
      <c r="M80" s="188">
        <f t="shared" si="12"/>
        <v>0.41101305430801693</v>
      </c>
      <c r="N80" s="189">
        <f t="shared" si="13"/>
        <v>0.38017982799061767</v>
      </c>
    </row>
    <row r="81" spans="1:14" hidden="1" outlineLevel="1">
      <c r="A81" s="180"/>
      <c r="B81" s="190" t="s">
        <v>821</v>
      </c>
      <c r="C81" s="186">
        <f t="shared" si="7"/>
        <v>67.299578059071735</v>
      </c>
      <c r="E81" s="182">
        <v>108</v>
      </c>
      <c r="F81" s="183">
        <v>33</v>
      </c>
      <c r="G81" s="191">
        <f t="shared" si="8"/>
        <v>227.27272727272728</v>
      </c>
      <c r="H81" s="188">
        <f t="shared" si="9"/>
        <v>0.38386351519459749</v>
      </c>
      <c r="I81" s="188">
        <f t="shared" si="10"/>
        <v>0.14967343976777939</v>
      </c>
      <c r="J81" s="182">
        <v>793</v>
      </c>
      <c r="K81" s="183">
        <v>474</v>
      </c>
      <c r="L81" s="191">
        <f t="shared" si="11"/>
        <v>67.299578059071735</v>
      </c>
      <c r="M81" s="188">
        <f t="shared" si="12"/>
        <v>0.37767479961327627</v>
      </c>
      <c r="N81" s="189">
        <f t="shared" si="13"/>
        <v>0.23162627052384674</v>
      </c>
    </row>
    <row r="82" spans="1:14" hidden="1" outlineLevel="1">
      <c r="A82" s="180"/>
      <c r="B82" s="190" t="s">
        <v>824</v>
      </c>
      <c r="C82" s="186">
        <f t="shared" si="7"/>
        <v>42.567567567567565</v>
      </c>
      <c r="E82" s="182">
        <v>52</v>
      </c>
      <c r="F82" s="183">
        <v>50</v>
      </c>
      <c r="G82" s="191">
        <f t="shared" si="8"/>
        <v>4</v>
      </c>
      <c r="H82" s="188">
        <f t="shared" si="9"/>
        <v>0.18482317398258397</v>
      </c>
      <c r="I82" s="188">
        <f t="shared" si="10"/>
        <v>0.22677793904208998</v>
      </c>
      <c r="J82" s="182">
        <v>422</v>
      </c>
      <c r="K82" s="183">
        <v>296</v>
      </c>
      <c r="L82" s="191">
        <f t="shared" si="11"/>
        <v>42.567567567567565</v>
      </c>
      <c r="M82" s="188">
        <f t="shared" si="12"/>
        <v>0.20098204973115077</v>
      </c>
      <c r="N82" s="189">
        <f t="shared" si="13"/>
        <v>0.14464425332290853</v>
      </c>
    </row>
    <row r="83" spans="1:14" hidden="1" outlineLevel="1">
      <c r="A83" s="180"/>
      <c r="B83" s="190" t="s">
        <v>822</v>
      </c>
      <c r="C83" s="186">
        <f t="shared" si="7"/>
        <v>-13.918629550321199</v>
      </c>
      <c r="E83" s="182">
        <v>25</v>
      </c>
      <c r="F83" s="183">
        <v>51</v>
      </c>
      <c r="G83" s="191">
        <f t="shared" si="8"/>
        <v>-50.980392156862742</v>
      </c>
      <c r="H83" s="188">
        <f t="shared" si="9"/>
        <v>8.8857295183934593E-2</v>
      </c>
      <c r="I83" s="188">
        <f t="shared" si="10"/>
        <v>0.23131349782293179</v>
      </c>
      <c r="J83" s="182">
        <v>402</v>
      </c>
      <c r="K83" s="183">
        <v>467</v>
      </c>
      <c r="L83" s="191">
        <f t="shared" si="11"/>
        <v>-13.918629550321199</v>
      </c>
      <c r="M83" s="188">
        <f t="shared" si="12"/>
        <v>0.19145683410408204</v>
      </c>
      <c r="N83" s="189">
        <f t="shared" si="13"/>
        <v>0.22820562939796715</v>
      </c>
    </row>
    <row r="84" spans="1:14" hidden="1" outlineLevel="1">
      <c r="A84" s="180"/>
      <c r="B84" s="190" t="s">
        <v>825</v>
      </c>
      <c r="C84" s="186">
        <f t="shared" si="7"/>
        <v>19.780219780219781</v>
      </c>
      <c r="E84" s="182">
        <v>26</v>
      </c>
      <c r="F84" s="183">
        <v>19</v>
      </c>
      <c r="G84" s="191">
        <f t="shared" si="8"/>
        <v>36.84210526315789</v>
      </c>
      <c r="H84" s="188">
        <f t="shared" si="9"/>
        <v>9.2411586991291983E-2</v>
      </c>
      <c r="I84" s="188">
        <f t="shared" si="10"/>
        <v>8.6175616835994201E-2</v>
      </c>
      <c r="J84" s="182">
        <v>218</v>
      </c>
      <c r="K84" s="183">
        <v>182</v>
      </c>
      <c r="L84" s="191">
        <f t="shared" si="11"/>
        <v>19.780219780219781</v>
      </c>
      <c r="M84" s="188">
        <f t="shared" si="12"/>
        <v>0.10382485033504946</v>
      </c>
      <c r="N84" s="189">
        <f t="shared" si="13"/>
        <v>8.8936669272869431E-2</v>
      </c>
    </row>
    <row r="85" spans="1:14" hidden="1" outlineLevel="1">
      <c r="A85" s="180"/>
      <c r="B85" s="190" t="s">
        <v>828</v>
      </c>
      <c r="C85" s="186">
        <f t="shared" si="7"/>
        <v>89.81481481481481</v>
      </c>
      <c r="E85" s="182">
        <v>10</v>
      </c>
      <c r="F85" s="183">
        <v>16</v>
      </c>
      <c r="G85" s="191">
        <f t="shared" si="8"/>
        <v>-37.5</v>
      </c>
      <c r="H85" s="188">
        <f t="shared" si="9"/>
        <v>3.5542918073573841E-2</v>
      </c>
      <c r="I85" s="188">
        <f t="shared" si="10"/>
        <v>7.2568940493468792E-2</v>
      </c>
      <c r="J85" s="182">
        <v>205</v>
      </c>
      <c r="K85" s="183">
        <v>108</v>
      </c>
      <c r="L85" s="191">
        <f t="shared" si="11"/>
        <v>89.81481481481481</v>
      </c>
      <c r="M85" s="188">
        <f t="shared" si="12"/>
        <v>9.7633460177454764E-2</v>
      </c>
      <c r="N85" s="189">
        <f t="shared" si="13"/>
        <v>5.2775605942142298E-2</v>
      </c>
    </row>
    <row r="86" spans="1:14" hidden="1" outlineLevel="1">
      <c r="A86" s="180"/>
      <c r="B86" s="190" t="s">
        <v>826</v>
      </c>
      <c r="C86" s="186">
        <f t="shared" si="7"/>
        <v>-61.29032258064516</v>
      </c>
      <c r="E86" s="182">
        <v>4</v>
      </c>
      <c r="F86" s="183">
        <v>1</v>
      </c>
      <c r="G86" s="191">
        <f t="shared" si="8"/>
        <v>300</v>
      </c>
      <c r="H86" s="188">
        <f t="shared" si="9"/>
        <v>1.4217167229429537E-2</v>
      </c>
      <c r="I86" s="188">
        <f t="shared" si="10"/>
        <v>4.5355587808417995E-3</v>
      </c>
      <c r="J86" s="182">
        <v>48</v>
      </c>
      <c r="K86" s="183">
        <v>124</v>
      </c>
      <c r="L86" s="191">
        <f t="shared" si="11"/>
        <v>-61.29032258064516</v>
      </c>
      <c r="M86" s="188">
        <f t="shared" si="12"/>
        <v>2.2860517504965018E-2</v>
      </c>
      <c r="N86" s="189">
        <f t="shared" si="13"/>
        <v>6.0594214229867084E-2</v>
      </c>
    </row>
    <row r="87" spans="1:14" hidden="1" outlineLevel="1">
      <c r="A87" s="180"/>
      <c r="B87" s="190" t="s">
        <v>827</v>
      </c>
      <c r="C87" s="186">
        <f t="shared" si="7"/>
        <v>-59.482758620689658</v>
      </c>
      <c r="E87" s="182">
        <v>11</v>
      </c>
      <c r="F87" s="183">
        <v>16</v>
      </c>
      <c r="G87" s="191">
        <f t="shared" si="8"/>
        <v>-31.25</v>
      </c>
      <c r="H87" s="188">
        <f t="shared" si="9"/>
        <v>3.9097209880931225E-2</v>
      </c>
      <c r="I87" s="188">
        <f t="shared" si="10"/>
        <v>7.2568940493468792E-2</v>
      </c>
      <c r="J87" s="182">
        <v>47</v>
      </c>
      <c r="K87" s="183">
        <v>116</v>
      </c>
      <c r="L87" s="191">
        <f t="shared" si="11"/>
        <v>-59.482758620689658</v>
      </c>
      <c r="M87" s="188">
        <f t="shared" si="12"/>
        <v>2.2384256723611579E-2</v>
      </c>
      <c r="N87" s="189">
        <f t="shared" si="13"/>
        <v>5.6684910086004688E-2</v>
      </c>
    </row>
    <row r="88" spans="1:14" hidden="1" outlineLevel="1">
      <c r="A88" s="180"/>
      <c r="B88" s="190" t="s">
        <v>829</v>
      </c>
      <c r="C88" s="186">
        <f t="shared" si="7"/>
        <v>34.285714285714285</v>
      </c>
      <c r="E88" s="182">
        <v>2</v>
      </c>
      <c r="F88" s="183">
        <v>2</v>
      </c>
      <c r="G88" s="191">
        <f t="shared" si="8"/>
        <v>0</v>
      </c>
      <c r="H88" s="188">
        <f t="shared" si="9"/>
        <v>7.1085836147147686E-3</v>
      </c>
      <c r="I88" s="188">
        <f t="shared" si="10"/>
        <v>9.071117561683599E-3</v>
      </c>
      <c r="J88" s="182">
        <v>47</v>
      </c>
      <c r="K88" s="183">
        <v>35</v>
      </c>
      <c r="L88" s="191">
        <f t="shared" si="11"/>
        <v>34.285714285714285</v>
      </c>
      <c r="M88" s="188">
        <f t="shared" si="12"/>
        <v>2.2384256723611579E-2</v>
      </c>
      <c r="N88" s="189">
        <f t="shared" si="13"/>
        <v>1.7103205629397968E-2</v>
      </c>
    </row>
    <row r="89" spans="1:14" hidden="1" outlineLevel="1">
      <c r="A89" s="180"/>
      <c r="B89" s="190" t="s">
        <v>830</v>
      </c>
      <c r="C89" s="186">
        <f t="shared" si="7"/>
        <v>-5.2631578947368416</v>
      </c>
      <c r="E89" s="182">
        <v>2</v>
      </c>
      <c r="F89" s="183">
        <v>2</v>
      </c>
      <c r="G89" s="191">
        <f t="shared" si="8"/>
        <v>0</v>
      </c>
      <c r="H89" s="188">
        <f t="shared" si="9"/>
        <v>7.1085836147147686E-3</v>
      </c>
      <c r="I89" s="188">
        <f t="shared" si="10"/>
        <v>9.071117561683599E-3</v>
      </c>
      <c r="J89" s="182">
        <v>18</v>
      </c>
      <c r="K89" s="183">
        <v>19</v>
      </c>
      <c r="L89" s="191">
        <f t="shared" si="11"/>
        <v>-5.2631578947368416</v>
      </c>
      <c r="M89" s="188">
        <f t="shared" si="12"/>
        <v>8.5726940643618826E-3</v>
      </c>
      <c r="N89" s="189">
        <f t="shared" si="13"/>
        <v>9.2845973416731814E-3</v>
      </c>
    </row>
    <row r="90" spans="1:14" hidden="1" outlineLevel="1">
      <c r="A90" s="180"/>
      <c r="B90" s="190" t="s">
        <v>832</v>
      </c>
      <c r="C90" s="186">
        <f t="shared" si="7"/>
        <v>112.5</v>
      </c>
      <c r="E90" s="182">
        <v>0</v>
      </c>
      <c r="F90" s="183">
        <v>2</v>
      </c>
      <c r="G90" s="191">
        <f t="shared" si="8"/>
        <v>-100</v>
      </c>
      <c r="H90" s="188" t="str">
        <f t="shared" si="9"/>
        <v/>
      </c>
      <c r="I90" s="188">
        <f t="shared" si="10"/>
        <v>9.071117561683599E-3</v>
      </c>
      <c r="J90" s="182">
        <v>17</v>
      </c>
      <c r="K90" s="183">
        <v>8</v>
      </c>
      <c r="L90" s="191">
        <f t="shared" si="11"/>
        <v>112.5</v>
      </c>
      <c r="M90" s="188">
        <f t="shared" si="12"/>
        <v>8.0964332830084432E-3</v>
      </c>
      <c r="N90" s="189">
        <f t="shared" si="13"/>
        <v>3.9093041438623922E-3</v>
      </c>
    </row>
    <row r="91" spans="1:14" hidden="1" outlineLevel="1">
      <c r="A91" s="180"/>
      <c r="B91" s="190" t="s">
        <v>833</v>
      </c>
      <c r="C91" s="186">
        <f t="shared" si="7"/>
        <v>-50</v>
      </c>
      <c r="E91" s="182">
        <v>1</v>
      </c>
      <c r="F91" s="183">
        <v>0</v>
      </c>
      <c r="G91" s="191" t="str">
        <f t="shared" si="8"/>
        <v/>
      </c>
      <c r="H91" s="188">
        <f t="shared" si="9"/>
        <v>3.5542918073573843E-3</v>
      </c>
      <c r="I91" s="188" t="str">
        <f t="shared" si="10"/>
        <v/>
      </c>
      <c r="J91" s="182">
        <v>3</v>
      </c>
      <c r="K91" s="183">
        <v>6</v>
      </c>
      <c r="L91" s="191">
        <f t="shared" si="11"/>
        <v>-50</v>
      </c>
      <c r="M91" s="188">
        <f t="shared" si="12"/>
        <v>1.4287823440603136E-3</v>
      </c>
      <c r="N91" s="189">
        <f t="shared" si="13"/>
        <v>2.9319781078967944E-3</v>
      </c>
    </row>
    <row r="92" spans="1:14" hidden="1" outlineLevel="1">
      <c r="A92" s="180"/>
      <c r="B92" s="190" t="s">
        <v>831</v>
      </c>
      <c r="C92" s="186">
        <f t="shared" si="7"/>
        <v>-75</v>
      </c>
      <c r="E92" s="182">
        <v>0</v>
      </c>
      <c r="F92" s="183">
        <v>2</v>
      </c>
      <c r="G92" s="191">
        <f t="shared" si="8"/>
        <v>-100</v>
      </c>
      <c r="H92" s="188" t="str">
        <f t="shared" si="9"/>
        <v/>
      </c>
      <c r="I92" s="188">
        <f t="shared" si="10"/>
        <v>9.071117561683599E-3</v>
      </c>
      <c r="J92" s="182">
        <v>3</v>
      </c>
      <c r="K92" s="183">
        <v>12</v>
      </c>
      <c r="L92" s="191">
        <f t="shared" si="11"/>
        <v>-75</v>
      </c>
      <c r="M92" s="188">
        <f t="shared" si="12"/>
        <v>1.4287823440603136E-3</v>
      </c>
      <c r="N92" s="189">
        <f t="shared" si="13"/>
        <v>5.8639562157935888E-3</v>
      </c>
    </row>
    <row r="93" spans="1:14" hidden="1" outlineLevel="1">
      <c r="A93" s="180"/>
      <c r="B93" s="190" t="s">
        <v>1191</v>
      </c>
      <c r="C93" s="186">
        <f t="shared" si="7"/>
        <v>100</v>
      </c>
      <c r="E93" s="182">
        <v>1</v>
      </c>
      <c r="F93" s="183">
        <v>0</v>
      </c>
      <c r="G93" s="191" t="str">
        <f t="shared" si="8"/>
        <v/>
      </c>
      <c r="H93" s="188">
        <f t="shared" si="9"/>
        <v>3.5542918073573843E-3</v>
      </c>
      <c r="I93" s="188" t="str">
        <f t="shared" si="10"/>
        <v/>
      </c>
      <c r="J93" s="182">
        <v>2</v>
      </c>
      <c r="K93" s="183">
        <v>1</v>
      </c>
      <c r="L93" s="191">
        <f t="shared" si="11"/>
        <v>100</v>
      </c>
      <c r="M93" s="188">
        <f t="shared" si="12"/>
        <v>9.5252156270687579E-4</v>
      </c>
      <c r="N93" s="189">
        <f t="shared" si="13"/>
        <v>4.8866301798279903E-4</v>
      </c>
    </row>
    <row r="94" spans="1:14" hidden="1" outlineLevel="1">
      <c r="A94" s="180"/>
      <c r="B94" s="190" t="s">
        <v>834</v>
      </c>
      <c r="C94" s="186">
        <f t="shared" si="7"/>
        <v>0</v>
      </c>
      <c r="E94" s="182">
        <v>0</v>
      </c>
      <c r="F94" s="183">
        <v>0</v>
      </c>
      <c r="G94" s="191" t="str">
        <f t="shared" si="8"/>
        <v/>
      </c>
      <c r="H94" s="188" t="str">
        <f t="shared" si="9"/>
        <v/>
      </c>
      <c r="I94" s="188" t="str">
        <f t="shared" si="10"/>
        <v/>
      </c>
      <c r="J94" s="182">
        <v>1</v>
      </c>
      <c r="K94" s="183">
        <v>1</v>
      </c>
      <c r="L94" s="191">
        <f t="shared" si="11"/>
        <v>0</v>
      </c>
      <c r="M94" s="188">
        <f t="shared" si="12"/>
        <v>4.7626078135343789E-4</v>
      </c>
      <c r="N94" s="189">
        <f t="shared" si="13"/>
        <v>4.8866301798279903E-4</v>
      </c>
    </row>
    <row r="95" spans="1:14" collapsed="1">
      <c r="A95" s="180" t="s">
        <v>1166</v>
      </c>
      <c r="B95" s="179" t="s">
        <v>261</v>
      </c>
      <c r="C95" s="186">
        <f t="shared" si="7"/>
        <v>-7.2641967319204008</v>
      </c>
      <c r="E95" s="182">
        <v>1232</v>
      </c>
      <c r="F95" s="183">
        <v>1283</v>
      </c>
      <c r="G95" s="191">
        <f t="shared" si="8"/>
        <v>-3.9750584567420111</v>
      </c>
      <c r="H95" s="188">
        <f t="shared" si="9"/>
        <v>4.3788875066642969</v>
      </c>
      <c r="I95" s="188">
        <f t="shared" si="10"/>
        <v>5.8191219158200287</v>
      </c>
      <c r="J95" s="182">
        <v>11464</v>
      </c>
      <c r="K95" s="183">
        <v>12362</v>
      </c>
      <c r="L95" s="191">
        <f t="shared" si="11"/>
        <v>-7.2641967319204008</v>
      </c>
      <c r="M95" s="188">
        <f t="shared" si="12"/>
        <v>5.4598535974358118</v>
      </c>
      <c r="N95" s="189">
        <f t="shared" si="13"/>
        <v>6.0408522283033612</v>
      </c>
    </row>
    <row r="96" spans="1:14" hidden="1" outlineLevel="1">
      <c r="A96" s="180"/>
      <c r="B96" s="190" t="s">
        <v>778</v>
      </c>
      <c r="C96" s="186">
        <f t="shared" si="7"/>
        <v>209.94535519125682</v>
      </c>
      <c r="E96" s="182">
        <v>298</v>
      </c>
      <c r="F96" s="183">
        <v>183</v>
      </c>
      <c r="G96" s="191">
        <f t="shared" si="8"/>
        <v>62.841530054644814</v>
      </c>
      <c r="H96" s="188">
        <f t="shared" si="9"/>
        <v>1.0591789585925004</v>
      </c>
      <c r="I96" s="188">
        <f t="shared" si="10"/>
        <v>0.83000725689404942</v>
      </c>
      <c r="J96" s="182">
        <v>2836</v>
      </c>
      <c r="K96" s="183">
        <v>915</v>
      </c>
      <c r="L96" s="191">
        <f t="shared" si="11"/>
        <v>209.94535519125682</v>
      </c>
      <c r="M96" s="188">
        <f t="shared" si="12"/>
        <v>1.3506755759183497</v>
      </c>
      <c r="N96" s="189">
        <f t="shared" si="13"/>
        <v>0.44712666145426111</v>
      </c>
    </row>
    <row r="97" spans="1:14" hidden="1" outlineLevel="1">
      <c r="A97" s="180"/>
      <c r="B97" s="190" t="s">
        <v>777</v>
      </c>
      <c r="C97" s="186">
        <f t="shared" si="7"/>
        <v>92.717391304347828</v>
      </c>
      <c r="E97" s="182">
        <v>208</v>
      </c>
      <c r="F97" s="183">
        <v>9</v>
      </c>
      <c r="G97" s="191">
        <f t="shared" si="8"/>
        <v>2211.1111111111109</v>
      </c>
      <c r="H97" s="188">
        <f t="shared" si="9"/>
        <v>0.73929269593033586</v>
      </c>
      <c r="I97" s="188">
        <f t="shared" si="10"/>
        <v>4.0820029027576199E-2</v>
      </c>
      <c r="J97" s="182">
        <v>1773</v>
      </c>
      <c r="K97" s="183">
        <v>920</v>
      </c>
      <c r="L97" s="191">
        <f t="shared" si="11"/>
        <v>92.717391304347828</v>
      </c>
      <c r="M97" s="188">
        <f t="shared" si="12"/>
        <v>0.84441036533964531</v>
      </c>
      <c r="N97" s="189">
        <f t="shared" si="13"/>
        <v>0.44956997654417513</v>
      </c>
    </row>
    <row r="98" spans="1:14" hidden="1" outlineLevel="1">
      <c r="A98" s="180"/>
      <c r="B98" s="190" t="s">
        <v>774</v>
      </c>
      <c r="C98" s="186">
        <f t="shared" si="7"/>
        <v>-32.378079436902965</v>
      </c>
      <c r="E98" s="182">
        <v>155</v>
      </c>
      <c r="F98" s="183">
        <v>189</v>
      </c>
      <c r="G98" s="191">
        <f t="shared" si="8"/>
        <v>-17.989417989417987</v>
      </c>
      <c r="H98" s="188">
        <f t="shared" si="9"/>
        <v>0.55091523014039445</v>
      </c>
      <c r="I98" s="188">
        <f t="shared" si="10"/>
        <v>0.85722060957910007</v>
      </c>
      <c r="J98" s="182">
        <v>1345</v>
      </c>
      <c r="K98" s="183">
        <v>1989</v>
      </c>
      <c r="L98" s="191">
        <f t="shared" si="11"/>
        <v>-32.378079436902965</v>
      </c>
      <c r="M98" s="188">
        <f t="shared" si="12"/>
        <v>0.64057075092037397</v>
      </c>
      <c r="N98" s="189">
        <f t="shared" si="13"/>
        <v>0.97195074276778726</v>
      </c>
    </row>
    <row r="99" spans="1:14" hidden="1" outlineLevel="1">
      <c r="A99" s="180"/>
      <c r="B99" s="190" t="s">
        <v>776</v>
      </c>
      <c r="C99" s="186">
        <f t="shared" si="7"/>
        <v>-13.342053629823415</v>
      </c>
      <c r="E99" s="182">
        <v>178</v>
      </c>
      <c r="F99" s="183">
        <v>116</v>
      </c>
      <c r="G99" s="191">
        <f t="shared" si="8"/>
        <v>53.448275862068961</v>
      </c>
      <c r="H99" s="188">
        <f t="shared" si="9"/>
        <v>0.63266394170961437</v>
      </c>
      <c r="I99" s="188">
        <f t="shared" si="10"/>
        <v>0.52612481857764881</v>
      </c>
      <c r="J99" s="182">
        <v>1325</v>
      </c>
      <c r="K99" s="183">
        <v>1529</v>
      </c>
      <c r="L99" s="191">
        <f t="shared" si="11"/>
        <v>-13.342053629823415</v>
      </c>
      <c r="M99" s="188">
        <f t="shared" si="12"/>
        <v>0.6310455352933052</v>
      </c>
      <c r="N99" s="189">
        <f t="shared" si="13"/>
        <v>0.74716575449569977</v>
      </c>
    </row>
    <row r="100" spans="1:14" hidden="1" outlineLevel="1">
      <c r="A100" s="180"/>
      <c r="B100" s="190" t="s">
        <v>773</v>
      </c>
      <c r="C100" s="186">
        <f t="shared" si="7"/>
        <v>-40.305635148042022</v>
      </c>
      <c r="E100" s="182">
        <v>91</v>
      </c>
      <c r="F100" s="183">
        <v>222</v>
      </c>
      <c r="G100" s="191">
        <f t="shared" si="8"/>
        <v>-59.009009009009006</v>
      </c>
      <c r="H100" s="188">
        <f t="shared" si="9"/>
        <v>0.32344055446952197</v>
      </c>
      <c r="I100" s="188">
        <f t="shared" si="10"/>
        <v>1.0068940493468796</v>
      </c>
      <c r="J100" s="182">
        <v>1250</v>
      </c>
      <c r="K100" s="183">
        <v>2094</v>
      </c>
      <c r="L100" s="191">
        <f t="shared" si="11"/>
        <v>-40.305635148042022</v>
      </c>
      <c r="M100" s="188">
        <f t="shared" si="12"/>
        <v>0.59532597669179732</v>
      </c>
      <c r="N100" s="189">
        <f t="shared" si="13"/>
        <v>1.0232603596559813</v>
      </c>
    </row>
    <row r="101" spans="1:14" hidden="1" outlineLevel="1">
      <c r="A101" s="180"/>
      <c r="B101" s="190" t="s">
        <v>782</v>
      </c>
      <c r="C101" s="186">
        <f t="shared" si="7"/>
        <v>105.67823343848582</v>
      </c>
      <c r="E101" s="182">
        <v>42</v>
      </c>
      <c r="F101" s="183">
        <v>40</v>
      </c>
      <c r="G101" s="191">
        <f t="shared" si="8"/>
        <v>5</v>
      </c>
      <c r="H101" s="188">
        <f t="shared" si="9"/>
        <v>0.14928025590901015</v>
      </c>
      <c r="I101" s="188">
        <f t="shared" si="10"/>
        <v>0.18142235123367198</v>
      </c>
      <c r="J101" s="182">
        <v>652</v>
      </c>
      <c r="K101" s="183">
        <v>317</v>
      </c>
      <c r="L101" s="191">
        <f t="shared" si="11"/>
        <v>105.67823343848582</v>
      </c>
      <c r="M101" s="188">
        <f t="shared" si="12"/>
        <v>0.31052202944244151</v>
      </c>
      <c r="N101" s="189">
        <f t="shared" si="13"/>
        <v>0.15490617670054729</v>
      </c>
    </row>
    <row r="102" spans="1:14" hidden="1" outlineLevel="1">
      <c r="A102" s="180"/>
      <c r="B102" s="190" t="s">
        <v>781</v>
      </c>
      <c r="C102" s="186">
        <f t="shared" si="7"/>
        <v>1.8675721561969438</v>
      </c>
      <c r="E102" s="182">
        <v>109</v>
      </c>
      <c r="F102" s="183">
        <v>65</v>
      </c>
      <c r="G102" s="191">
        <f t="shared" si="8"/>
        <v>67.692307692307693</v>
      </c>
      <c r="H102" s="188">
        <f t="shared" si="9"/>
        <v>0.38741780700195488</v>
      </c>
      <c r="I102" s="188">
        <f t="shared" si="10"/>
        <v>0.294811320754717</v>
      </c>
      <c r="J102" s="182">
        <v>600</v>
      </c>
      <c r="K102" s="183">
        <v>589</v>
      </c>
      <c r="L102" s="191">
        <f t="shared" si="11"/>
        <v>1.8675721561969438</v>
      </c>
      <c r="M102" s="188">
        <f t="shared" si="12"/>
        <v>0.28575646881206274</v>
      </c>
      <c r="N102" s="189">
        <f t="shared" si="13"/>
        <v>0.28782251759186867</v>
      </c>
    </row>
    <row r="103" spans="1:14" hidden="1" outlineLevel="1">
      <c r="A103" s="180"/>
      <c r="B103" s="190" t="s">
        <v>779</v>
      </c>
      <c r="C103" s="186">
        <f t="shared" si="7"/>
        <v>-25.605095541401273</v>
      </c>
      <c r="E103" s="182">
        <v>78</v>
      </c>
      <c r="F103" s="183">
        <v>63</v>
      </c>
      <c r="G103" s="191">
        <f t="shared" si="8"/>
        <v>23.809523809523807</v>
      </c>
      <c r="H103" s="188">
        <f t="shared" si="9"/>
        <v>0.27723476097387595</v>
      </c>
      <c r="I103" s="188">
        <f t="shared" si="10"/>
        <v>0.28574020319303339</v>
      </c>
      <c r="J103" s="182">
        <v>584</v>
      </c>
      <c r="K103" s="183">
        <v>785</v>
      </c>
      <c r="L103" s="191">
        <f t="shared" si="11"/>
        <v>-25.605095541401273</v>
      </c>
      <c r="M103" s="188">
        <f t="shared" si="12"/>
        <v>0.2781362963104077</v>
      </c>
      <c r="N103" s="189">
        <f t="shared" si="13"/>
        <v>0.38360046911649726</v>
      </c>
    </row>
    <row r="104" spans="1:14" hidden="1" outlineLevel="1">
      <c r="A104" s="180"/>
      <c r="B104" s="190" t="s">
        <v>780</v>
      </c>
      <c r="C104" s="186">
        <f t="shared" si="7"/>
        <v>-41.389728096676734</v>
      </c>
      <c r="E104" s="182">
        <v>25</v>
      </c>
      <c r="F104" s="183">
        <v>46</v>
      </c>
      <c r="G104" s="191">
        <f t="shared" si="8"/>
        <v>-45.652173913043477</v>
      </c>
      <c r="H104" s="188">
        <f t="shared" si="9"/>
        <v>8.8857295183934593E-2</v>
      </c>
      <c r="I104" s="188">
        <f t="shared" si="10"/>
        <v>0.20863570391872277</v>
      </c>
      <c r="J104" s="182">
        <v>388</v>
      </c>
      <c r="K104" s="183">
        <v>662</v>
      </c>
      <c r="L104" s="191">
        <f t="shared" si="11"/>
        <v>-41.389728096676734</v>
      </c>
      <c r="M104" s="188">
        <f t="shared" si="12"/>
        <v>0.1847891831651339</v>
      </c>
      <c r="N104" s="189">
        <f t="shared" si="13"/>
        <v>0.32349491790461299</v>
      </c>
    </row>
    <row r="105" spans="1:14" hidden="1" outlineLevel="1">
      <c r="A105" s="180"/>
      <c r="B105" s="190" t="s">
        <v>783</v>
      </c>
      <c r="C105" s="186">
        <f t="shared" si="7"/>
        <v>-45.689655172413794</v>
      </c>
      <c r="E105" s="182">
        <v>4</v>
      </c>
      <c r="F105" s="183">
        <v>56</v>
      </c>
      <c r="G105" s="191">
        <f t="shared" si="8"/>
        <v>-92.857142857142861</v>
      </c>
      <c r="H105" s="188">
        <f t="shared" si="9"/>
        <v>1.4217167229429537E-2</v>
      </c>
      <c r="I105" s="188">
        <f t="shared" si="10"/>
        <v>0.2539912917271408</v>
      </c>
      <c r="J105" s="182">
        <v>189</v>
      </c>
      <c r="K105" s="183">
        <v>348</v>
      </c>
      <c r="L105" s="191">
        <f t="shared" si="11"/>
        <v>-45.689655172413794</v>
      </c>
      <c r="M105" s="188">
        <f t="shared" si="12"/>
        <v>9.0013287675799761E-2</v>
      </c>
      <c r="N105" s="189">
        <f t="shared" si="13"/>
        <v>0.17005473025801407</v>
      </c>
    </row>
    <row r="106" spans="1:14" hidden="1" outlineLevel="1">
      <c r="A106" s="180"/>
      <c r="B106" s="190" t="s">
        <v>784</v>
      </c>
      <c r="C106" s="186">
        <f t="shared" si="7"/>
        <v>106.75675675675676</v>
      </c>
      <c r="E106" s="182">
        <v>14</v>
      </c>
      <c r="F106" s="183">
        <v>10</v>
      </c>
      <c r="G106" s="191">
        <f t="shared" si="8"/>
        <v>40</v>
      </c>
      <c r="H106" s="188">
        <f t="shared" si="9"/>
        <v>4.9760085303003368E-2</v>
      </c>
      <c r="I106" s="188">
        <f t="shared" si="10"/>
        <v>4.5355587808417995E-2</v>
      </c>
      <c r="J106" s="182">
        <v>153</v>
      </c>
      <c r="K106" s="183">
        <v>74</v>
      </c>
      <c r="L106" s="191">
        <f t="shared" si="11"/>
        <v>106.75675675675676</v>
      </c>
      <c r="M106" s="188">
        <f t="shared" si="12"/>
        <v>7.2867899547075995E-2</v>
      </c>
      <c r="N106" s="189">
        <f t="shared" si="13"/>
        <v>3.6161063330727133E-2</v>
      </c>
    </row>
    <row r="107" spans="1:14" hidden="1" outlineLevel="1">
      <c r="A107" s="180"/>
      <c r="B107" s="190" t="s">
        <v>1167</v>
      </c>
      <c r="C107" s="186" t="str">
        <f t="shared" si="7"/>
        <v/>
      </c>
      <c r="E107" s="182">
        <v>14</v>
      </c>
      <c r="F107" s="183">
        <v>0</v>
      </c>
      <c r="G107" s="191" t="str">
        <f t="shared" si="8"/>
        <v/>
      </c>
      <c r="H107" s="188">
        <f t="shared" si="9"/>
        <v>4.9760085303003368E-2</v>
      </c>
      <c r="I107" s="188" t="str">
        <f t="shared" si="10"/>
        <v/>
      </c>
      <c r="J107" s="182">
        <v>89</v>
      </c>
      <c r="K107" s="183">
        <v>0</v>
      </c>
      <c r="L107" s="191" t="str">
        <f t="shared" si="11"/>
        <v/>
      </c>
      <c r="M107" s="188">
        <f t="shared" si="12"/>
        <v>4.2387209540455974E-2</v>
      </c>
      <c r="N107" s="189" t="str">
        <f t="shared" si="13"/>
        <v/>
      </c>
    </row>
    <row r="108" spans="1:14" hidden="1" outlineLevel="1">
      <c r="A108" s="180"/>
      <c r="B108" s="190" t="s">
        <v>785</v>
      </c>
      <c r="C108" s="186">
        <f t="shared" si="7"/>
        <v>-1.5384615384615385</v>
      </c>
      <c r="E108" s="182">
        <v>6</v>
      </c>
      <c r="F108" s="183">
        <v>9</v>
      </c>
      <c r="G108" s="191">
        <f t="shared" si="8"/>
        <v>-33.333333333333329</v>
      </c>
      <c r="H108" s="188">
        <f t="shared" si="9"/>
        <v>2.1325750844144304E-2</v>
      </c>
      <c r="I108" s="188">
        <f t="shared" si="10"/>
        <v>4.0820029027576199E-2</v>
      </c>
      <c r="J108" s="182">
        <v>64</v>
      </c>
      <c r="K108" s="183">
        <v>65</v>
      </c>
      <c r="L108" s="191">
        <f t="shared" si="11"/>
        <v>-1.5384615384615385</v>
      </c>
      <c r="M108" s="188">
        <f t="shared" si="12"/>
        <v>3.0480690006620025E-2</v>
      </c>
      <c r="N108" s="189">
        <f t="shared" si="13"/>
        <v>3.1763096168881941E-2</v>
      </c>
    </row>
    <row r="109" spans="1:14" hidden="1" outlineLevel="1">
      <c r="A109" s="180"/>
      <c r="B109" s="190" t="s">
        <v>786</v>
      </c>
      <c r="C109" s="186">
        <f t="shared" si="7"/>
        <v>-1.6949152542372881</v>
      </c>
      <c r="E109" s="182">
        <v>5</v>
      </c>
      <c r="F109" s="183">
        <v>5</v>
      </c>
      <c r="G109" s="191">
        <f t="shared" si="8"/>
        <v>0</v>
      </c>
      <c r="H109" s="188">
        <f t="shared" si="9"/>
        <v>1.7771459036786921E-2</v>
      </c>
      <c r="I109" s="188">
        <f t="shared" si="10"/>
        <v>2.2677793904208998E-2</v>
      </c>
      <c r="J109" s="182">
        <v>58</v>
      </c>
      <c r="K109" s="183">
        <v>59</v>
      </c>
      <c r="L109" s="191">
        <f t="shared" si="11"/>
        <v>-1.6949152542372881</v>
      </c>
      <c r="M109" s="188">
        <f t="shared" si="12"/>
        <v>2.7623125318499395E-2</v>
      </c>
      <c r="N109" s="189">
        <f t="shared" si="13"/>
        <v>2.8831118060985143E-2</v>
      </c>
    </row>
    <row r="110" spans="1:14" hidden="1" outlineLevel="1">
      <c r="A110" s="180"/>
      <c r="B110" s="190" t="s">
        <v>1028</v>
      </c>
      <c r="C110" s="186" t="str">
        <f t="shared" si="7"/>
        <v/>
      </c>
      <c r="E110" s="182">
        <v>1</v>
      </c>
      <c r="F110" s="183">
        <v>0</v>
      </c>
      <c r="G110" s="191" t="str">
        <f t="shared" si="8"/>
        <v/>
      </c>
      <c r="H110" s="188">
        <f t="shared" si="9"/>
        <v>3.5542918073573843E-3</v>
      </c>
      <c r="I110" s="188" t="str">
        <f t="shared" si="10"/>
        <v/>
      </c>
      <c r="J110" s="182">
        <v>57</v>
      </c>
      <c r="K110" s="183">
        <v>0</v>
      </c>
      <c r="L110" s="191" t="str">
        <f t="shared" si="11"/>
        <v/>
      </c>
      <c r="M110" s="188">
        <f t="shared" si="12"/>
        <v>2.7146864537145959E-2</v>
      </c>
      <c r="N110" s="189" t="str">
        <f t="shared" si="13"/>
        <v/>
      </c>
    </row>
    <row r="111" spans="1:14" hidden="1" outlineLevel="1">
      <c r="A111" s="180"/>
      <c r="B111" s="190" t="s">
        <v>788</v>
      </c>
      <c r="C111" s="186">
        <f t="shared" si="7"/>
        <v>-59.302325581395351</v>
      </c>
      <c r="E111" s="182">
        <v>0</v>
      </c>
      <c r="F111" s="183">
        <v>18</v>
      </c>
      <c r="G111" s="191">
        <f t="shared" si="8"/>
        <v>-100</v>
      </c>
      <c r="H111" s="188" t="str">
        <f t="shared" si="9"/>
        <v/>
      </c>
      <c r="I111" s="188">
        <f t="shared" si="10"/>
        <v>8.1640058055152398E-2</v>
      </c>
      <c r="J111" s="182">
        <v>35</v>
      </c>
      <c r="K111" s="183">
        <v>86</v>
      </c>
      <c r="L111" s="191">
        <f t="shared" si="11"/>
        <v>-59.302325581395351</v>
      </c>
      <c r="M111" s="188">
        <f t="shared" si="12"/>
        <v>1.6669127347370326E-2</v>
      </c>
      <c r="N111" s="189">
        <f t="shared" si="13"/>
        <v>4.2025019546520714E-2</v>
      </c>
    </row>
    <row r="112" spans="1:14" hidden="1" outlineLevel="1">
      <c r="A112" s="180"/>
      <c r="B112" s="190" t="s">
        <v>789</v>
      </c>
      <c r="C112" s="186">
        <f t="shared" si="7"/>
        <v>-26.829268292682929</v>
      </c>
      <c r="E112" s="182">
        <v>2</v>
      </c>
      <c r="F112" s="183">
        <v>1</v>
      </c>
      <c r="G112" s="191">
        <f t="shared" si="8"/>
        <v>100</v>
      </c>
      <c r="H112" s="188">
        <f t="shared" si="9"/>
        <v>7.1085836147147686E-3</v>
      </c>
      <c r="I112" s="188">
        <f t="shared" si="10"/>
        <v>4.5355587808417995E-3</v>
      </c>
      <c r="J112" s="182">
        <v>30</v>
      </c>
      <c r="K112" s="183">
        <v>41</v>
      </c>
      <c r="L112" s="191">
        <f t="shared" si="11"/>
        <v>-26.829268292682929</v>
      </c>
      <c r="M112" s="188">
        <f t="shared" si="12"/>
        <v>1.4287823440603137E-2</v>
      </c>
      <c r="N112" s="189">
        <f t="shared" si="13"/>
        <v>2.0035183737294762E-2</v>
      </c>
    </row>
    <row r="113" spans="1:14" hidden="1" outlineLevel="1">
      <c r="A113" s="180"/>
      <c r="B113" s="190" t="s">
        <v>787</v>
      </c>
      <c r="C113" s="186">
        <f t="shared" si="7"/>
        <v>-65.957446808510639</v>
      </c>
      <c r="E113" s="182">
        <v>0</v>
      </c>
      <c r="F113" s="183">
        <v>4</v>
      </c>
      <c r="G113" s="191">
        <f t="shared" si="8"/>
        <v>-100</v>
      </c>
      <c r="H113" s="188" t="str">
        <f t="shared" si="9"/>
        <v/>
      </c>
      <c r="I113" s="188">
        <f t="shared" si="10"/>
        <v>1.8142235123367198E-2</v>
      </c>
      <c r="J113" s="182">
        <v>16</v>
      </c>
      <c r="K113" s="183">
        <v>47</v>
      </c>
      <c r="L113" s="191">
        <f t="shared" si="11"/>
        <v>-65.957446808510639</v>
      </c>
      <c r="M113" s="188">
        <f t="shared" si="12"/>
        <v>7.6201725016550063E-3</v>
      </c>
      <c r="N113" s="189">
        <f t="shared" si="13"/>
        <v>2.2967161845191555E-2</v>
      </c>
    </row>
    <row r="114" spans="1:14" hidden="1" outlineLevel="1">
      <c r="A114" s="180"/>
      <c r="B114" s="190" t="s">
        <v>1108</v>
      </c>
      <c r="C114" s="186">
        <f t="shared" si="7"/>
        <v>33.333333333333329</v>
      </c>
      <c r="E114" s="182">
        <v>0</v>
      </c>
      <c r="F114" s="183">
        <v>0</v>
      </c>
      <c r="G114" s="191" t="str">
        <f t="shared" si="8"/>
        <v/>
      </c>
      <c r="H114" s="188" t="str">
        <f t="shared" si="9"/>
        <v/>
      </c>
      <c r="I114" s="188" t="str">
        <f t="shared" si="10"/>
        <v/>
      </c>
      <c r="J114" s="182">
        <v>12</v>
      </c>
      <c r="K114" s="183">
        <v>9</v>
      </c>
      <c r="L114" s="191">
        <f t="shared" si="11"/>
        <v>33.333333333333329</v>
      </c>
      <c r="M114" s="188">
        <f t="shared" si="12"/>
        <v>5.7151293762412545E-3</v>
      </c>
      <c r="N114" s="189">
        <f t="shared" si="13"/>
        <v>4.3979671618451909E-3</v>
      </c>
    </row>
    <row r="115" spans="1:14" hidden="1" outlineLevel="1">
      <c r="A115" s="180"/>
      <c r="B115" s="190" t="s">
        <v>790</v>
      </c>
      <c r="C115" s="186">
        <f t="shared" si="7"/>
        <v>-80</v>
      </c>
      <c r="E115" s="182">
        <v>0</v>
      </c>
      <c r="F115" s="183">
        <v>9</v>
      </c>
      <c r="G115" s="191">
        <f t="shared" si="8"/>
        <v>-100</v>
      </c>
      <c r="H115" s="188" t="str">
        <f t="shared" si="9"/>
        <v/>
      </c>
      <c r="I115" s="188">
        <f t="shared" si="10"/>
        <v>4.0820029027576199E-2</v>
      </c>
      <c r="J115" s="182">
        <v>4</v>
      </c>
      <c r="K115" s="183">
        <v>20</v>
      </c>
      <c r="L115" s="191">
        <f t="shared" si="11"/>
        <v>-80</v>
      </c>
      <c r="M115" s="188">
        <f t="shared" si="12"/>
        <v>1.9050431254137516E-3</v>
      </c>
      <c r="N115" s="189">
        <f t="shared" si="13"/>
        <v>9.773260359655981E-3</v>
      </c>
    </row>
    <row r="116" spans="1:14" hidden="1" outlineLevel="1">
      <c r="A116" s="180"/>
      <c r="B116" s="190" t="s">
        <v>1286</v>
      </c>
      <c r="C116" s="186" t="str">
        <f t="shared" si="7"/>
        <v/>
      </c>
      <c r="E116" s="182">
        <v>2</v>
      </c>
      <c r="F116" s="183">
        <v>0</v>
      </c>
      <c r="G116" s="191" t="str">
        <f t="shared" si="8"/>
        <v/>
      </c>
      <c r="H116" s="188">
        <f t="shared" si="9"/>
        <v>7.1085836147147686E-3</v>
      </c>
      <c r="I116" s="188" t="str">
        <f t="shared" si="10"/>
        <v/>
      </c>
      <c r="J116" s="182">
        <v>2</v>
      </c>
      <c r="K116" s="183">
        <v>0</v>
      </c>
      <c r="L116" s="191" t="str">
        <f t="shared" si="11"/>
        <v/>
      </c>
      <c r="M116" s="188">
        <f t="shared" si="12"/>
        <v>9.5252156270687579E-4</v>
      </c>
      <c r="N116" s="189" t="str">
        <f t="shared" si="13"/>
        <v/>
      </c>
    </row>
    <row r="117" spans="1:14" hidden="1" outlineLevel="1">
      <c r="A117" s="180"/>
      <c r="B117" s="190" t="s">
        <v>775</v>
      </c>
      <c r="C117" s="186">
        <f t="shared" si="7"/>
        <v>-99.88968560397133</v>
      </c>
      <c r="E117" s="182">
        <v>0</v>
      </c>
      <c r="F117" s="183">
        <v>238</v>
      </c>
      <c r="G117" s="191">
        <f t="shared" si="8"/>
        <v>-100</v>
      </c>
      <c r="H117" s="188" t="str">
        <f t="shared" si="9"/>
        <v/>
      </c>
      <c r="I117" s="188">
        <f t="shared" si="10"/>
        <v>1.0794629898403483</v>
      </c>
      <c r="J117" s="182">
        <v>2</v>
      </c>
      <c r="K117" s="183">
        <v>1813</v>
      </c>
      <c r="L117" s="191">
        <f t="shared" si="11"/>
        <v>-99.88968560397133</v>
      </c>
      <c r="M117" s="188">
        <f t="shared" si="12"/>
        <v>9.5252156270687579E-4</v>
      </c>
      <c r="N117" s="189">
        <f t="shared" si="13"/>
        <v>0.8859460516028147</v>
      </c>
    </row>
    <row r="118" spans="1:14" collapsed="1">
      <c r="A118" s="180" t="s">
        <v>1109</v>
      </c>
      <c r="B118" s="179" t="s">
        <v>378</v>
      </c>
      <c r="C118" s="186">
        <f t="shared" si="7"/>
        <v>-7.4737020699015941</v>
      </c>
      <c r="E118" s="182">
        <v>1586</v>
      </c>
      <c r="F118" s="183">
        <v>1374</v>
      </c>
      <c r="G118" s="191">
        <f t="shared" si="8"/>
        <v>15.429403202328967</v>
      </c>
      <c r="H118" s="188">
        <f t="shared" si="9"/>
        <v>5.637106806468811</v>
      </c>
      <c r="I118" s="188">
        <f t="shared" si="10"/>
        <v>6.2318577648766329</v>
      </c>
      <c r="J118" s="182">
        <v>10907</v>
      </c>
      <c r="K118" s="183">
        <v>11788</v>
      </c>
      <c r="L118" s="191">
        <f t="shared" si="11"/>
        <v>-7.4737020699015941</v>
      </c>
      <c r="M118" s="188">
        <f t="shared" si="12"/>
        <v>5.1945763422219473</v>
      </c>
      <c r="N118" s="189">
        <f t="shared" si="13"/>
        <v>5.7603596559812358</v>
      </c>
    </row>
    <row r="119" spans="1:14" hidden="1" outlineLevel="1">
      <c r="A119" s="180"/>
      <c r="B119" s="190" t="s">
        <v>792</v>
      </c>
      <c r="C119" s="186">
        <f t="shared" si="7"/>
        <v>1.6085790884718498</v>
      </c>
      <c r="E119" s="182">
        <v>266</v>
      </c>
      <c r="F119" s="183">
        <v>149</v>
      </c>
      <c r="G119" s="191">
        <f t="shared" si="8"/>
        <v>78.523489932885909</v>
      </c>
      <c r="H119" s="188">
        <f t="shared" si="9"/>
        <v>0.94544162075706417</v>
      </c>
      <c r="I119" s="188">
        <f t="shared" si="10"/>
        <v>0.67579825834542817</v>
      </c>
      <c r="J119" s="182">
        <v>1516</v>
      </c>
      <c r="K119" s="183">
        <v>1492</v>
      </c>
      <c r="L119" s="191">
        <f t="shared" si="11"/>
        <v>1.6085790884718498</v>
      </c>
      <c r="M119" s="188">
        <f t="shared" si="12"/>
        <v>0.72201134453181182</v>
      </c>
      <c r="N119" s="189">
        <f t="shared" si="13"/>
        <v>0.72908522283033617</v>
      </c>
    </row>
    <row r="120" spans="1:14" hidden="1" outlineLevel="1">
      <c r="A120" s="180"/>
      <c r="B120" s="190" t="s">
        <v>791</v>
      </c>
      <c r="C120" s="186">
        <f t="shared" si="7"/>
        <v>-15.783132530120481</v>
      </c>
      <c r="E120" s="182">
        <v>231</v>
      </c>
      <c r="F120" s="183">
        <v>140</v>
      </c>
      <c r="G120" s="191">
        <f t="shared" si="8"/>
        <v>65</v>
      </c>
      <c r="H120" s="188">
        <f t="shared" si="9"/>
        <v>0.82104140749955579</v>
      </c>
      <c r="I120" s="188">
        <f t="shared" si="10"/>
        <v>0.63497822931785197</v>
      </c>
      <c r="J120" s="182">
        <v>1398</v>
      </c>
      <c r="K120" s="183">
        <v>1660</v>
      </c>
      <c r="L120" s="191">
        <f t="shared" si="11"/>
        <v>-15.783132530120481</v>
      </c>
      <c r="M120" s="188">
        <f t="shared" si="12"/>
        <v>0.66581257233210622</v>
      </c>
      <c r="N120" s="189">
        <f t="shared" si="13"/>
        <v>0.81118060985144647</v>
      </c>
    </row>
    <row r="121" spans="1:14" hidden="1" outlineLevel="1">
      <c r="A121" s="180"/>
      <c r="B121" s="190" t="s">
        <v>794</v>
      </c>
      <c r="C121" s="186">
        <f t="shared" si="7"/>
        <v>0.5357142857142857</v>
      </c>
      <c r="E121" s="182">
        <v>158</v>
      </c>
      <c r="F121" s="183">
        <v>98</v>
      </c>
      <c r="G121" s="191">
        <f t="shared" si="8"/>
        <v>61.224489795918366</v>
      </c>
      <c r="H121" s="188">
        <f t="shared" si="9"/>
        <v>0.56157810556246668</v>
      </c>
      <c r="I121" s="188">
        <f t="shared" si="10"/>
        <v>0.44448476052249641</v>
      </c>
      <c r="J121" s="182">
        <v>1126</v>
      </c>
      <c r="K121" s="183">
        <v>1120</v>
      </c>
      <c r="L121" s="191">
        <f t="shared" si="11"/>
        <v>0.5357142857142857</v>
      </c>
      <c r="M121" s="188">
        <f t="shared" si="12"/>
        <v>0.53626963980397102</v>
      </c>
      <c r="N121" s="189">
        <f t="shared" si="13"/>
        <v>0.54730258014073496</v>
      </c>
    </row>
    <row r="122" spans="1:14" hidden="1" outlineLevel="1">
      <c r="A122" s="180"/>
      <c r="B122" s="190" t="s">
        <v>797</v>
      </c>
      <c r="C122" s="186">
        <f t="shared" si="7"/>
        <v>103.88170055452865</v>
      </c>
      <c r="E122" s="182">
        <v>173</v>
      </c>
      <c r="F122" s="183">
        <v>82</v>
      </c>
      <c r="G122" s="191">
        <f t="shared" si="8"/>
        <v>110.97560975609757</v>
      </c>
      <c r="H122" s="188">
        <f t="shared" si="9"/>
        <v>0.61489248267282748</v>
      </c>
      <c r="I122" s="188">
        <f t="shared" si="10"/>
        <v>0.37191582002902757</v>
      </c>
      <c r="J122" s="182">
        <v>1103</v>
      </c>
      <c r="K122" s="183">
        <v>541</v>
      </c>
      <c r="L122" s="191">
        <f t="shared" si="11"/>
        <v>103.88170055452865</v>
      </c>
      <c r="M122" s="188">
        <f t="shared" si="12"/>
        <v>0.52531564183284196</v>
      </c>
      <c r="N122" s="189">
        <f t="shared" si="13"/>
        <v>0.26436669272869429</v>
      </c>
    </row>
    <row r="123" spans="1:14" hidden="1" outlineLevel="1">
      <c r="A123" s="180"/>
      <c r="B123" s="190" t="s">
        <v>796</v>
      </c>
      <c r="C123" s="186">
        <f t="shared" si="7"/>
        <v>-6.041666666666667</v>
      </c>
      <c r="E123" s="182">
        <v>126</v>
      </c>
      <c r="F123" s="183">
        <v>185</v>
      </c>
      <c r="G123" s="191">
        <f t="shared" si="8"/>
        <v>-31.891891891891895</v>
      </c>
      <c r="H123" s="188">
        <f t="shared" si="9"/>
        <v>0.44784076772703041</v>
      </c>
      <c r="I123" s="188">
        <f t="shared" si="10"/>
        <v>0.83907837445573297</v>
      </c>
      <c r="J123" s="182">
        <v>902</v>
      </c>
      <c r="K123" s="183">
        <v>960</v>
      </c>
      <c r="L123" s="191">
        <f t="shared" si="11"/>
        <v>-6.041666666666667</v>
      </c>
      <c r="M123" s="188">
        <f t="shared" si="12"/>
        <v>0.42958722478080091</v>
      </c>
      <c r="N123" s="189">
        <f t="shared" si="13"/>
        <v>0.46911649726348714</v>
      </c>
    </row>
    <row r="124" spans="1:14" hidden="1" outlineLevel="1">
      <c r="A124" s="180"/>
      <c r="B124" s="190" t="s">
        <v>798</v>
      </c>
      <c r="C124" s="186">
        <f t="shared" si="7"/>
        <v>28.445229681978802</v>
      </c>
      <c r="E124" s="182">
        <v>128</v>
      </c>
      <c r="F124" s="183">
        <v>138</v>
      </c>
      <c r="G124" s="191">
        <f t="shared" si="8"/>
        <v>-7.2463768115942031</v>
      </c>
      <c r="H124" s="188">
        <f t="shared" si="9"/>
        <v>0.45494935134174519</v>
      </c>
      <c r="I124" s="188">
        <f t="shared" si="10"/>
        <v>0.62590711175616831</v>
      </c>
      <c r="J124" s="182">
        <v>727</v>
      </c>
      <c r="K124" s="183">
        <v>566</v>
      </c>
      <c r="L124" s="191">
        <f t="shared" si="11"/>
        <v>28.445229681978802</v>
      </c>
      <c r="M124" s="188">
        <f t="shared" si="12"/>
        <v>0.34624158804394933</v>
      </c>
      <c r="N124" s="189">
        <f t="shared" si="13"/>
        <v>0.27658326817826429</v>
      </c>
    </row>
    <row r="125" spans="1:14" hidden="1" outlineLevel="1">
      <c r="A125" s="180"/>
      <c r="B125" s="190" t="s">
        <v>802</v>
      </c>
      <c r="C125" s="186">
        <f t="shared" si="7"/>
        <v>99.404761904761912</v>
      </c>
      <c r="E125" s="182">
        <v>91</v>
      </c>
      <c r="F125" s="183">
        <v>39</v>
      </c>
      <c r="G125" s="191">
        <f t="shared" si="8"/>
        <v>133.33333333333331</v>
      </c>
      <c r="H125" s="188">
        <f t="shared" si="9"/>
        <v>0.32344055446952197</v>
      </c>
      <c r="I125" s="188">
        <f t="shared" si="10"/>
        <v>0.1768867924528302</v>
      </c>
      <c r="J125" s="182">
        <v>670</v>
      </c>
      <c r="K125" s="183">
        <v>336</v>
      </c>
      <c r="L125" s="191">
        <f t="shared" si="11"/>
        <v>99.404761904761912</v>
      </c>
      <c r="M125" s="188">
        <f t="shared" si="12"/>
        <v>0.3190947235068034</v>
      </c>
      <c r="N125" s="189">
        <f t="shared" si="13"/>
        <v>0.16419077404222049</v>
      </c>
    </row>
    <row r="126" spans="1:14" hidden="1" outlineLevel="1">
      <c r="A126" s="180"/>
      <c r="B126" s="190" t="s">
        <v>793</v>
      </c>
      <c r="C126" s="186">
        <f t="shared" si="7"/>
        <v>-54.499151103565367</v>
      </c>
      <c r="E126" s="182">
        <v>96</v>
      </c>
      <c r="F126" s="183">
        <v>101</v>
      </c>
      <c r="G126" s="191">
        <f t="shared" si="8"/>
        <v>-4.9504950495049505</v>
      </c>
      <c r="H126" s="188">
        <f t="shared" si="9"/>
        <v>0.34121201350630886</v>
      </c>
      <c r="I126" s="188">
        <f t="shared" si="10"/>
        <v>0.45809143686502174</v>
      </c>
      <c r="J126" s="182">
        <v>536</v>
      </c>
      <c r="K126" s="183">
        <v>1178</v>
      </c>
      <c r="L126" s="191">
        <f t="shared" si="11"/>
        <v>-54.499151103565367</v>
      </c>
      <c r="M126" s="188">
        <f t="shared" si="12"/>
        <v>0.25527577880544272</v>
      </c>
      <c r="N126" s="189">
        <f t="shared" si="13"/>
        <v>0.57564503518373733</v>
      </c>
    </row>
    <row r="127" spans="1:14" hidden="1" outlineLevel="1">
      <c r="A127" s="180"/>
      <c r="B127" s="190" t="s">
        <v>795</v>
      </c>
      <c r="C127" s="186">
        <f t="shared" si="7"/>
        <v>-55.68075117370892</v>
      </c>
      <c r="E127" s="182">
        <v>41</v>
      </c>
      <c r="F127" s="183">
        <v>120</v>
      </c>
      <c r="G127" s="191">
        <f t="shared" si="8"/>
        <v>-65.833333333333329</v>
      </c>
      <c r="H127" s="188">
        <f t="shared" si="9"/>
        <v>0.14572596410165276</v>
      </c>
      <c r="I127" s="188">
        <f t="shared" si="10"/>
        <v>0.54426705370101591</v>
      </c>
      <c r="J127" s="182">
        <v>472</v>
      </c>
      <c r="K127" s="183">
        <v>1065</v>
      </c>
      <c r="L127" s="191">
        <f t="shared" si="11"/>
        <v>-55.68075117370892</v>
      </c>
      <c r="M127" s="188">
        <f t="shared" si="12"/>
        <v>0.22479508879882265</v>
      </c>
      <c r="N127" s="189">
        <f t="shared" si="13"/>
        <v>0.52042611415168105</v>
      </c>
    </row>
    <row r="128" spans="1:14" hidden="1" outlineLevel="1">
      <c r="A128" s="180"/>
      <c r="B128" s="190" t="s">
        <v>799</v>
      </c>
      <c r="C128" s="186">
        <f t="shared" si="7"/>
        <v>-7.3825503355704702</v>
      </c>
      <c r="E128" s="182">
        <v>46</v>
      </c>
      <c r="F128" s="183">
        <v>64</v>
      </c>
      <c r="G128" s="191">
        <f t="shared" si="8"/>
        <v>-28.125</v>
      </c>
      <c r="H128" s="188">
        <f t="shared" si="9"/>
        <v>0.16349742313843965</v>
      </c>
      <c r="I128" s="188">
        <f t="shared" si="10"/>
        <v>0.29027576197387517</v>
      </c>
      <c r="J128" s="182">
        <v>414</v>
      </c>
      <c r="K128" s="183">
        <v>447</v>
      </c>
      <c r="L128" s="191">
        <f t="shared" si="11"/>
        <v>-7.3825503355704702</v>
      </c>
      <c r="M128" s="188">
        <f t="shared" si="12"/>
        <v>0.19717196348032329</v>
      </c>
      <c r="N128" s="189">
        <f t="shared" si="13"/>
        <v>0.2184323690383112</v>
      </c>
    </row>
    <row r="129" spans="1:14" hidden="1" outlineLevel="1">
      <c r="A129" s="180"/>
      <c r="B129" s="190" t="s">
        <v>803</v>
      </c>
      <c r="C129" s="186">
        <f t="shared" si="7"/>
        <v>1.3054830287206265</v>
      </c>
      <c r="E129" s="182">
        <v>35</v>
      </c>
      <c r="F129" s="183">
        <v>36</v>
      </c>
      <c r="G129" s="191">
        <f t="shared" si="8"/>
        <v>-2.7777777777777777</v>
      </c>
      <c r="H129" s="188">
        <f t="shared" si="9"/>
        <v>0.12440021325750845</v>
      </c>
      <c r="I129" s="188">
        <f t="shared" si="10"/>
        <v>0.1632801161103048</v>
      </c>
      <c r="J129" s="182">
        <v>388</v>
      </c>
      <c r="K129" s="183">
        <v>383</v>
      </c>
      <c r="L129" s="191">
        <f t="shared" si="11"/>
        <v>1.3054830287206265</v>
      </c>
      <c r="M129" s="188">
        <f t="shared" si="12"/>
        <v>0.1847891831651339</v>
      </c>
      <c r="N129" s="189">
        <f t="shared" si="13"/>
        <v>0.18715793588741206</v>
      </c>
    </row>
    <row r="130" spans="1:14" hidden="1" outlineLevel="1">
      <c r="A130" s="180"/>
      <c r="B130" s="190" t="s">
        <v>801</v>
      </c>
      <c r="C130" s="186">
        <f t="shared" si="7"/>
        <v>-21.822541966426858</v>
      </c>
      <c r="E130" s="182">
        <v>40</v>
      </c>
      <c r="F130" s="183">
        <v>37</v>
      </c>
      <c r="G130" s="191">
        <f t="shared" si="8"/>
        <v>8.1081081081081088</v>
      </c>
      <c r="H130" s="188">
        <f t="shared" si="9"/>
        <v>0.14217167229429536</v>
      </c>
      <c r="I130" s="188">
        <f t="shared" si="10"/>
        <v>0.1678156748911466</v>
      </c>
      <c r="J130" s="182">
        <v>326</v>
      </c>
      <c r="K130" s="183">
        <v>417</v>
      </c>
      <c r="L130" s="191">
        <f t="shared" si="11"/>
        <v>-21.822541966426858</v>
      </c>
      <c r="M130" s="188">
        <f t="shared" si="12"/>
        <v>0.15526101472122075</v>
      </c>
      <c r="N130" s="189">
        <f t="shared" si="13"/>
        <v>0.20377247849882721</v>
      </c>
    </row>
    <row r="131" spans="1:14" hidden="1" outlineLevel="1">
      <c r="A131" s="180"/>
      <c r="B131" s="190" t="s">
        <v>800</v>
      </c>
      <c r="C131" s="186">
        <f t="shared" si="7"/>
        <v>-18.67007672634271</v>
      </c>
      <c r="E131" s="182">
        <v>26</v>
      </c>
      <c r="F131" s="183">
        <v>37</v>
      </c>
      <c r="G131" s="191">
        <f t="shared" si="8"/>
        <v>-29.72972972972973</v>
      </c>
      <c r="H131" s="188">
        <f t="shared" si="9"/>
        <v>9.2411586991291983E-2</v>
      </c>
      <c r="I131" s="188">
        <f t="shared" si="10"/>
        <v>0.1678156748911466</v>
      </c>
      <c r="J131" s="182">
        <v>318</v>
      </c>
      <c r="K131" s="183">
        <v>391</v>
      </c>
      <c r="L131" s="191">
        <f t="shared" si="11"/>
        <v>-18.67007672634271</v>
      </c>
      <c r="M131" s="188">
        <f t="shared" si="12"/>
        <v>0.15145092847039326</v>
      </c>
      <c r="N131" s="189">
        <f t="shared" si="13"/>
        <v>0.19106724003127443</v>
      </c>
    </row>
    <row r="132" spans="1:14" hidden="1" outlineLevel="1">
      <c r="A132" s="180"/>
      <c r="B132" s="190" t="s">
        <v>805</v>
      </c>
      <c r="C132" s="186">
        <f t="shared" si="7"/>
        <v>-26.442307692307693</v>
      </c>
      <c r="E132" s="182">
        <v>10</v>
      </c>
      <c r="F132" s="183">
        <v>22</v>
      </c>
      <c r="G132" s="191">
        <f t="shared" si="8"/>
        <v>-54.54545454545454</v>
      </c>
      <c r="H132" s="188">
        <f t="shared" si="9"/>
        <v>3.5542918073573841E-2</v>
      </c>
      <c r="I132" s="188">
        <f t="shared" si="10"/>
        <v>9.9782293178519582E-2</v>
      </c>
      <c r="J132" s="182">
        <v>153</v>
      </c>
      <c r="K132" s="183">
        <v>208</v>
      </c>
      <c r="L132" s="191">
        <f t="shared" si="11"/>
        <v>-26.442307692307693</v>
      </c>
      <c r="M132" s="188">
        <f t="shared" si="12"/>
        <v>7.2867899547075995E-2</v>
      </c>
      <c r="N132" s="189">
        <f t="shared" si="13"/>
        <v>0.10164190774042221</v>
      </c>
    </row>
    <row r="133" spans="1:14" hidden="1" outlineLevel="1">
      <c r="A133" s="180"/>
      <c r="B133" s="190" t="s">
        <v>814</v>
      </c>
      <c r="C133" s="186">
        <f t="shared" si="7"/>
        <v>545</v>
      </c>
      <c r="E133" s="182">
        <v>23</v>
      </c>
      <c r="F133" s="183">
        <v>12</v>
      </c>
      <c r="G133" s="191">
        <f t="shared" si="8"/>
        <v>91.666666666666657</v>
      </c>
      <c r="H133" s="188">
        <f t="shared" si="9"/>
        <v>8.1748711569219826E-2</v>
      </c>
      <c r="I133" s="188">
        <f t="shared" si="10"/>
        <v>5.4426705370101594E-2</v>
      </c>
      <c r="J133" s="182">
        <v>129</v>
      </c>
      <c r="K133" s="183">
        <v>20</v>
      </c>
      <c r="L133" s="191">
        <f t="shared" si="11"/>
        <v>545</v>
      </c>
      <c r="M133" s="188">
        <f t="shared" si="12"/>
        <v>6.143764079459349E-2</v>
      </c>
      <c r="N133" s="189">
        <f t="shared" si="13"/>
        <v>9.773260359655981E-3</v>
      </c>
    </row>
    <row r="134" spans="1:14" hidden="1" outlineLevel="1">
      <c r="A134" s="180"/>
      <c r="B134" s="190" t="s">
        <v>807</v>
      </c>
      <c r="C134" s="186">
        <f t="shared" si="7"/>
        <v>-19.35483870967742</v>
      </c>
      <c r="E134" s="182">
        <v>11</v>
      </c>
      <c r="F134" s="183">
        <v>9</v>
      </c>
      <c r="G134" s="191">
        <f t="shared" si="8"/>
        <v>22.222222222222221</v>
      </c>
      <c r="H134" s="188">
        <f t="shared" si="9"/>
        <v>3.9097209880931225E-2</v>
      </c>
      <c r="I134" s="188">
        <f t="shared" si="10"/>
        <v>4.0820029027576199E-2</v>
      </c>
      <c r="J134" s="182">
        <v>125</v>
      </c>
      <c r="K134" s="183">
        <v>155</v>
      </c>
      <c r="L134" s="191">
        <f t="shared" si="11"/>
        <v>-19.35483870967742</v>
      </c>
      <c r="M134" s="188">
        <f t="shared" si="12"/>
        <v>5.9532597669179739E-2</v>
      </c>
      <c r="N134" s="189">
        <f t="shared" si="13"/>
        <v>7.5742767787333853E-2</v>
      </c>
    </row>
    <row r="135" spans="1:14" hidden="1" outlineLevel="1">
      <c r="A135" s="180"/>
      <c r="B135" s="190" t="s">
        <v>809</v>
      </c>
      <c r="C135" s="186">
        <f t="shared" si="7"/>
        <v>31.868131868131865</v>
      </c>
      <c r="E135" s="182">
        <v>22</v>
      </c>
      <c r="F135" s="183">
        <v>9</v>
      </c>
      <c r="G135" s="191">
        <f t="shared" si="8"/>
        <v>144.44444444444443</v>
      </c>
      <c r="H135" s="188">
        <f t="shared" si="9"/>
        <v>7.8194419761862449E-2</v>
      </c>
      <c r="I135" s="188">
        <f t="shared" si="10"/>
        <v>4.0820029027576199E-2</v>
      </c>
      <c r="J135" s="182">
        <v>120</v>
      </c>
      <c r="K135" s="183">
        <v>91</v>
      </c>
      <c r="L135" s="191">
        <f t="shared" si="11"/>
        <v>31.868131868131865</v>
      </c>
      <c r="M135" s="188">
        <f t="shared" si="12"/>
        <v>5.7151293762412549E-2</v>
      </c>
      <c r="N135" s="189">
        <f t="shared" si="13"/>
        <v>4.4468334636434716E-2</v>
      </c>
    </row>
    <row r="136" spans="1:14" hidden="1" outlineLevel="1">
      <c r="A136" s="180"/>
      <c r="B136" s="190" t="s">
        <v>806</v>
      </c>
      <c r="C136" s="186">
        <f t="shared" si="7"/>
        <v>-28.220858895705518</v>
      </c>
      <c r="E136" s="182">
        <v>9</v>
      </c>
      <c r="F136" s="183">
        <v>18</v>
      </c>
      <c r="G136" s="191">
        <f t="shared" si="8"/>
        <v>-50</v>
      </c>
      <c r="H136" s="188">
        <f t="shared" si="9"/>
        <v>3.1988626266216458E-2</v>
      </c>
      <c r="I136" s="188">
        <f t="shared" si="10"/>
        <v>8.1640058055152398E-2</v>
      </c>
      <c r="J136" s="182">
        <v>117</v>
      </c>
      <c r="K136" s="183">
        <v>163</v>
      </c>
      <c r="L136" s="191">
        <f t="shared" si="11"/>
        <v>-28.220858895705518</v>
      </c>
      <c r="M136" s="188">
        <f t="shared" si="12"/>
        <v>5.572251141835223E-2</v>
      </c>
      <c r="N136" s="189">
        <f t="shared" si="13"/>
        <v>7.9652071931196236E-2</v>
      </c>
    </row>
    <row r="137" spans="1:14" hidden="1" outlineLevel="1">
      <c r="A137" s="180"/>
      <c r="B137" s="190" t="s">
        <v>811</v>
      </c>
      <c r="C137" s="186">
        <f t="shared" si="7"/>
        <v>25</v>
      </c>
      <c r="E137" s="182">
        <v>7</v>
      </c>
      <c r="F137" s="183">
        <v>10</v>
      </c>
      <c r="G137" s="191">
        <f t="shared" si="8"/>
        <v>-30</v>
      </c>
      <c r="H137" s="188">
        <f t="shared" si="9"/>
        <v>2.4880042651501684E-2</v>
      </c>
      <c r="I137" s="188">
        <f t="shared" si="10"/>
        <v>4.5355587808417995E-2</v>
      </c>
      <c r="J137" s="182">
        <v>90</v>
      </c>
      <c r="K137" s="183">
        <v>72</v>
      </c>
      <c r="L137" s="191">
        <f t="shared" si="11"/>
        <v>25</v>
      </c>
      <c r="M137" s="188">
        <f t="shared" si="12"/>
        <v>4.2863470321809413E-2</v>
      </c>
      <c r="N137" s="189">
        <f t="shared" si="13"/>
        <v>3.5183737294761527E-2</v>
      </c>
    </row>
    <row r="138" spans="1:14" hidden="1" outlineLevel="1">
      <c r="A138" s="180"/>
      <c r="B138" s="190" t="s">
        <v>810</v>
      </c>
      <c r="C138" s="186">
        <f t="shared" ref="C138:C201" si="14">IF(K138=0,"",SUM(((J138-K138)/K138)*100))</f>
        <v>-22.105263157894736</v>
      </c>
      <c r="E138" s="182">
        <v>10</v>
      </c>
      <c r="F138" s="183">
        <v>5</v>
      </c>
      <c r="G138" s="191">
        <f t="shared" ref="G138:G201" si="15">IF(F138=0,"",SUM(((E138-F138)/F138)*100))</f>
        <v>100</v>
      </c>
      <c r="H138" s="188">
        <f t="shared" ref="H138:H201" si="16">IF(E138=0,"",SUM((E138/CntPeriod)*100))</f>
        <v>3.5542918073573841E-2</v>
      </c>
      <c r="I138" s="188">
        <f t="shared" ref="I138:I201" si="17">IF(F138=0,"",SUM((F138/CntPeriodPrevYear)*100))</f>
        <v>2.2677793904208998E-2</v>
      </c>
      <c r="J138" s="182">
        <v>74</v>
      </c>
      <c r="K138" s="183">
        <v>95</v>
      </c>
      <c r="L138" s="191">
        <f t="shared" ref="L138:L201" si="18">IF(K138=0,"",SUM(((J138-K138)/K138)*100))</f>
        <v>-22.105263157894736</v>
      </c>
      <c r="M138" s="188">
        <f t="shared" ref="M138:M201" si="19">IF(J138=0,"",SUM((J138/CntYearAck)*100))</f>
        <v>3.5243297820154403E-2</v>
      </c>
      <c r="N138" s="189">
        <f t="shared" ref="N138:N201" si="20">IF(K138=0,"",SUM((K138/CntPrevYearAck)*100))</f>
        <v>4.6422986708365914E-2</v>
      </c>
    </row>
    <row r="139" spans="1:14" hidden="1" outlineLevel="1">
      <c r="A139" s="180"/>
      <c r="B139" s="190" t="s">
        <v>813</v>
      </c>
      <c r="C139" s="186">
        <f t="shared" si="14"/>
        <v>91.666666666666657</v>
      </c>
      <c r="E139" s="182">
        <v>7</v>
      </c>
      <c r="F139" s="183">
        <v>10</v>
      </c>
      <c r="G139" s="191">
        <f t="shared" si="15"/>
        <v>-30</v>
      </c>
      <c r="H139" s="188">
        <f t="shared" si="16"/>
        <v>2.4880042651501684E-2</v>
      </c>
      <c r="I139" s="188">
        <f t="shared" si="17"/>
        <v>4.5355587808417995E-2</v>
      </c>
      <c r="J139" s="182">
        <v>69</v>
      </c>
      <c r="K139" s="183">
        <v>36</v>
      </c>
      <c r="L139" s="191">
        <f t="shared" si="18"/>
        <v>91.666666666666657</v>
      </c>
      <c r="M139" s="188">
        <f t="shared" si="19"/>
        <v>3.2861993913387219E-2</v>
      </c>
      <c r="N139" s="189">
        <f t="shared" si="20"/>
        <v>1.7591868647380764E-2</v>
      </c>
    </row>
    <row r="140" spans="1:14" hidden="1" outlineLevel="1">
      <c r="A140" s="180"/>
      <c r="B140" s="190" t="s">
        <v>804</v>
      </c>
      <c r="C140" s="186">
        <f t="shared" si="14"/>
        <v>-76.436781609195407</v>
      </c>
      <c r="E140" s="182">
        <v>7</v>
      </c>
      <c r="F140" s="183">
        <v>11</v>
      </c>
      <c r="G140" s="191">
        <f t="shared" si="15"/>
        <v>-36.363636363636367</v>
      </c>
      <c r="H140" s="188">
        <f t="shared" si="16"/>
        <v>2.4880042651501684E-2</v>
      </c>
      <c r="I140" s="188">
        <f t="shared" si="17"/>
        <v>4.9891146589259791E-2</v>
      </c>
      <c r="J140" s="182">
        <v>41</v>
      </c>
      <c r="K140" s="183">
        <v>174</v>
      </c>
      <c r="L140" s="191">
        <f t="shared" si="18"/>
        <v>-76.436781609195407</v>
      </c>
      <c r="M140" s="188">
        <f t="shared" si="19"/>
        <v>1.9526692035490952E-2</v>
      </c>
      <c r="N140" s="189">
        <f t="shared" si="20"/>
        <v>8.5027365129007035E-2</v>
      </c>
    </row>
    <row r="141" spans="1:14" hidden="1" outlineLevel="1">
      <c r="A141" s="180"/>
      <c r="B141" s="190" t="s">
        <v>812</v>
      </c>
      <c r="C141" s="186">
        <f t="shared" si="14"/>
        <v>0</v>
      </c>
      <c r="E141" s="182">
        <v>4</v>
      </c>
      <c r="F141" s="183">
        <v>1</v>
      </c>
      <c r="G141" s="191">
        <f t="shared" si="15"/>
        <v>300</v>
      </c>
      <c r="H141" s="188">
        <f t="shared" si="16"/>
        <v>1.4217167229429537E-2</v>
      </c>
      <c r="I141" s="188">
        <f t="shared" si="17"/>
        <v>4.5355587808417995E-3</v>
      </c>
      <c r="J141" s="182">
        <v>34</v>
      </c>
      <c r="K141" s="183">
        <v>34</v>
      </c>
      <c r="L141" s="191">
        <f t="shared" si="18"/>
        <v>0</v>
      </c>
      <c r="M141" s="188">
        <f t="shared" si="19"/>
        <v>1.6192866566016886E-2</v>
      </c>
      <c r="N141" s="189">
        <f t="shared" si="20"/>
        <v>1.6614542611415168E-2</v>
      </c>
    </row>
    <row r="142" spans="1:14" hidden="1" outlineLevel="1">
      <c r="A142" s="180"/>
      <c r="B142" s="190" t="s">
        <v>808</v>
      </c>
      <c r="C142" s="186">
        <f t="shared" si="14"/>
        <v>-87.150837988826808</v>
      </c>
      <c r="E142" s="182">
        <v>0</v>
      </c>
      <c r="F142" s="183">
        <v>38</v>
      </c>
      <c r="G142" s="191">
        <f t="shared" si="15"/>
        <v>-100</v>
      </c>
      <c r="H142" s="188" t="str">
        <f t="shared" si="16"/>
        <v/>
      </c>
      <c r="I142" s="188">
        <f t="shared" si="17"/>
        <v>0.1723512336719884</v>
      </c>
      <c r="J142" s="182">
        <v>23</v>
      </c>
      <c r="K142" s="183">
        <v>179</v>
      </c>
      <c r="L142" s="191">
        <f t="shared" si="18"/>
        <v>-87.150837988826808</v>
      </c>
      <c r="M142" s="188">
        <f t="shared" si="19"/>
        <v>1.0953997971129071E-2</v>
      </c>
      <c r="N142" s="189">
        <f t="shared" si="20"/>
        <v>8.7470680218921029E-2</v>
      </c>
    </row>
    <row r="143" spans="1:14" hidden="1" outlineLevel="1">
      <c r="A143" s="180"/>
      <c r="B143" s="190" t="s">
        <v>1287</v>
      </c>
      <c r="C143" s="186" t="str">
        <f t="shared" si="14"/>
        <v/>
      </c>
      <c r="E143" s="182">
        <v>19</v>
      </c>
      <c r="F143" s="183">
        <v>0</v>
      </c>
      <c r="G143" s="191" t="str">
        <f t="shared" si="15"/>
        <v/>
      </c>
      <c r="H143" s="188">
        <f t="shared" si="16"/>
        <v>6.7531544339790292E-2</v>
      </c>
      <c r="I143" s="188" t="str">
        <f t="shared" si="17"/>
        <v/>
      </c>
      <c r="J143" s="182">
        <v>19</v>
      </c>
      <c r="K143" s="183">
        <v>0</v>
      </c>
      <c r="L143" s="191" t="str">
        <f t="shared" si="18"/>
        <v/>
      </c>
      <c r="M143" s="188">
        <f t="shared" si="19"/>
        <v>9.0489548457153186E-3</v>
      </c>
      <c r="N143" s="189" t="str">
        <f t="shared" si="20"/>
        <v/>
      </c>
    </row>
    <row r="144" spans="1:14" hidden="1" outlineLevel="1">
      <c r="A144" s="180"/>
      <c r="B144" s="190" t="s">
        <v>985</v>
      </c>
      <c r="C144" s="186">
        <f t="shared" si="14"/>
        <v>240</v>
      </c>
      <c r="E144" s="182">
        <v>0</v>
      </c>
      <c r="F144" s="183">
        <v>3</v>
      </c>
      <c r="G144" s="191">
        <f t="shared" si="15"/>
        <v>-100</v>
      </c>
      <c r="H144" s="188" t="str">
        <f t="shared" si="16"/>
        <v/>
      </c>
      <c r="I144" s="188">
        <f t="shared" si="17"/>
        <v>1.3606676342525399E-2</v>
      </c>
      <c r="J144" s="182">
        <v>17</v>
      </c>
      <c r="K144" s="183">
        <v>5</v>
      </c>
      <c r="L144" s="191">
        <f t="shared" si="18"/>
        <v>240</v>
      </c>
      <c r="M144" s="188">
        <f t="shared" si="19"/>
        <v>8.0964332830084432E-3</v>
      </c>
      <c r="N144" s="189">
        <f t="shared" si="20"/>
        <v>2.4433150899139952E-3</v>
      </c>
    </row>
    <row r="145" spans="1:14" collapsed="1">
      <c r="A145" s="180" t="s">
        <v>1243</v>
      </c>
      <c r="B145" s="179" t="s">
        <v>288</v>
      </c>
      <c r="C145" s="186">
        <f t="shared" si="14"/>
        <v>14.120262049602248</v>
      </c>
      <c r="E145" s="182">
        <v>1305</v>
      </c>
      <c r="F145" s="183">
        <v>1112</v>
      </c>
      <c r="G145" s="191">
        <f t="shared" si="15"/>
        <v>17.35611510791367</v>
      </c>
      <c r="H145" s="188">
        <f t="shared" si="16"/>
        <v>4.6383508086013858</v>
      </c>
      <c r="I145" s="188">
        <f t="shared" si="17"/>
        <v>5.0435413642960816</v>
      </c>
      <c r="J145" s="182">
        <v>9755</v>
      </c>
      <c r="K145" s="183">
        <v>8548</v>
      </c>
      <c r="L145" s="191">
        <f t="shared" si="18"/>
        <v>14.120262049602248</v>
      </c>
      <c r="M145" s="188">
        <f t="shared" si="19"/>
        <v>4.6459239221027868</v>
      </c>
      <c r="N145" s="189">
        <f t="shared" si="20"/>
        <v>4.1770914777169663</v>
      </c>
    </row>
    <row r="146" spans="1:14" hidden="1" outlineLevel="1">
      <c r="A146" s="180"/>
      <c r="B146" s="190" t="s">
        <v>835</v>
      </c>
      <c r="C146" s="186">
        <f t="shared" si="14"/>
        <v>29.860875466576182</v>
      </c>
      <c r="E146" s="182">
        <v>708</v>
      </c>
      <c r="F146" s="183">
        <v>516</v>
      </c>
      <c r="G146" s="191">
        <f t="shared" si="15"/>
        <v>37.209302325581397</v>
      </c>
      <c r="H146" s="188">
        <f t="shared" si="16"/>
        <v>2.5164385996090282</v>
      </c>
      <c r="I146" s="188">
        <f t="shared" si="17"/>
        <v>2.3403483309143684</v>
      </c>
      <c r="J146" s="182">
        <v>3827</v>
      </c>
      <c r="K146" s="183">
        <v>2947</v>
      </c>
      <c r="L146" s="191">
        <f t="shared" si="18"/>
        <v>29.860875466576182</v>
      </c>
      <c r="M146" s="188">
        <f t="shared" si="19"/>
        <v>1.8226500102396066</v>
      </c>
      <c r="N146" s="189">
        <f t="shared" si="20"/>
        <v>1.4400899139953089</v>
      </c>
    </row>
    <row r="147" spans="1:14" hidden="1" outlineLevel="1">
      <c r="A147" s="180"/>
      <c r="B147" s="190" t="s">
        <v>836</v>
      </c>
      <c r="C147" s="186">
        <f t="shared" si="14"/>
        <v>1.4142604596346495</v>
      </c>
      <c r="E147" s="182">
        <v>187</v>
      </c>
      <c r="F147" s="183">
        <v>283</v>
      </c>
      <c r="G147" s="191">
        <f t="shared" si="15"/>
        <v>-33.922261484098939</v>
      </c>
      <c r="H147" s="188">
        <f t="shared" si="16"/>
        <v>0.66465256797583083</v>
      </c>
      <c r="I147" s="188">
        <f t="shared" si="17"/>
        <v>1.2835631349782293</v>
      </c>
      <c r="J147" s="182">
        <v>1721</v>
      </c>
      <c r="K147" s="183">
        <v>1697</v>
      </c>
      <c r="L147" s="191">
        <f t="shared" si="18"/>
        <v>1.4142604596346495</v>
      </c>
      <c r="M147" s="188">
        <f t="shared" si="19"/>
        <v>0.81964480470926671</v>
      </c>
      <c r="N147" s="189">
        <f t="shared" si="20"/>
        <v>0.82926114151680996</v>
      </c>
    </row>
    <row r="148" spans="1:14" hidden="1" outlineLevel="1">
      <c r="A148" s="180"/>
      <c r="B148" s="190" t="s">
        <v>837</v>
      </c>
      <c r="C148" s="186">
        <f t="shared" si="14"/>
        <v>-9.618441971383147</v>
      </c>
      <c r="E148" s="182">
        <v>91</v>
      </c>
      <c r="F148" s="183">
        <v>98</v>
      </c>
      <c r="G148" s="191">
        <f t="shared" si="15"/>
        <v>-7.1428571428571423</v>
      </c>
      <c r="H148" s="188">
        <f t="shared" si="16"/>
        <v>0.32344055446952197</v>
      </c>
      <c r="I148" s="188">
        <f t="shared" si="17"/>
        <v>0.44448476052249641</v>
      </c>
      <c r="J148" s="182">
        <v>1137</v>
      </c>
      <c r="K148" s="183">
        <v>1258</v>
      </c>
      <c r="L148" s="191">
        <f t="shared" si="18"/>
        <v>-9.618441971383147</v>
      </c>
      <c r="M148" s="188">
        <f t="shared" si="19"/>
        <v>0.54150850839885889</v>
      </c>
      <c r="N148" s="189">
        <f t="shared" si="20"/>
        <v>0.61473807662236124</v>
      </c>
    </row>
    <row r="149" spans="1:14" hidden="1" outlineLevel="1">
      <c r="A149" s="180"/>
      <c r="B149" s="190" t="s">
        <v>839</v>
      </c>
      <c r="C149" s="186">
        <f t="shared" si="14"/>
        <v>23.767383059418457</v>
      </c>
      <c r="E149" s="182">
        <v>133</v>
      </c>
      <c r="F149" s="183">
        <v>90</v>
      </c>
      <c r="G149" s="191">
        <f t="shared" si="15"/>
        <v>47.777777777777779</v>
      </c>
      <c r="H149" s="188">
        <f t="shared" si="16"/>
        <v>0.47272081037853209</v>
      </c>
      <c r="I149" s="188">
        <f t="shared" si="17"/>
        <v>0.40820029027576199</v>
      </c>
      <c r="J149" s="182">
        <v>979</v>
      </c>
      <c r="K149" s="183">
        <v>791</v>
      </c>
      <c r="L149" s="191">
        <f t="shared" si="18"/>
        <v>23.767383059418457</v>
      </c>
      <c r="M149" s="188">
        <f t="shared" si="19"/>
        <v>0.46625930494501572</v>
      </c>
      <c r="N149" s="189">
        <f t="shared" si="20"/>
        <v>0.38653244722439406</v>
      </c>
    </row>
    <row r="150" spans="1:14" hidden="1" outlineLevel="1">
      <c r="A150" s="180"/>
      <c r="B150" s="190" t="s">
        <v>838</v>
      </c>
      <c r="C150" s="186">
        <f t="shared" si="14"/>
        <v>-11.494252873563218</v>
      </c>
      <c r="E150" s="182">
        <v>31</v>
      </c>
      <c r="F150" s="183">
        <v>32</v>
      </c>
      <c r="G150" s="191">
        <f t="shared" si="15"/>
        <v>-3.125</v>
      </c>
      <c r="H150" s="188">
        <f t="shared" si="16"/>
        <v>0.11018304602807891</v>
      </c>
      <c r="I150" s="188">
        <f t="shared" si="17"/>
        <v>0.14513788098693758</v>
      </c>
      <c r="J150" s="182">
        <v>693</v>
      </c>
      <c r="K150" s="183">
        <v>783</v>
      </c>
      <c r="L150" s="191">
        <f t="shared" si="18"/>
        <v>-11.494252873563218</v>
      </c>
      <c r="M150" s="188">
        <f t="shared" si="19"/>
        <v>0.33004872147793246</v>
      </c>
      <c r="N150" s="189">
        <f t="shared" si="20"/>
        <v>0.38262314308053164</v>
      </c>
    </row>
    <row r="151" spans="1:14" hidden="1" outlineLevel="1">
      <c r="A151" s="180"/>
      <c r="B151" s="190" t="s">
        <v>842</v>
      </c>
      <c r="C151" s="186">
        <f t="shared" si="14"/>
        <v>29.620853080568722</v>
      </c>
      <c r="E151" s="182">
        <v>80</v>
      </c>
      <c r="F151" s="183">
        <v>45</v>
      </c>
      <c r="G151" s="191">
        <f t="shared" si="15"/>
        <v>77.777777777777786</v>
      </c>
      <c r="H151" s="188">
        <f t="shared" si="16"/>
        <v>0.28434334458859073</v>
      </c>
      <c r="I151" s="188">
        <f t="shared" si="17"/>
        <v>0.20410014513788099</v>
      </c>
      <c r="J151" s="182">
        <v>547</v>
      </c>
      <c r="K151" s="183">
        <v>422</v>
      </c>
      <c r="L151" s="191">
        <f t="shared" si="18"/>
        <v>29.620853080568722</v>
      </c>
      <c r="M151" s="188">
        <f t="shared" si="19"/>
        <v>0.26051464740033053</v>
      </c>
      <c r="N151" s="189">
        <f t="shared" si="20"/>
        <v>0.2062157935887412</v>
      </c>
    </row>
    <row r="152" spans="1:14" hidden="1" outlineLevel="1">
      <c r="A152" s="180"/>
      <c r="B152" s="190" t="s">
        <v>840</v>
      </c>
      <c r="C152" s="186">
        <f t="shared" si="14"/>
        <v>65.789473684210535</v>
      </c>
      <c r="E152" s="182">
        <v>33</v>
      </c>
      <c r="F152" s="183">
        <v>10</v>
      </c>
      <c r="G152" s="191">
        <f t="shared" si="15"/>
        <v>229.99999999999997</v>
      </c>
      <c r="H152" s="188">
        <f t="shared" si="16"/>
        <v>0.11729162964279366</v>
      </c>
      <c r="I152" s="188">
        <f t="shared" si="17"/>
        <v>4.5355587808417995E-2</v>
      </c>
      <c r="J152" s="182">
        <v>504</v>
      </c>
      <c r="K152" s="183">
        <v>304</v>
      </c>
      <c r="L152" s="191">
        <f t="shared" si="18"/>
        <v>65.789473684210535</v>
      </c>
      <c r="M152" s="188">
        <f t="shared" si="19"/>
        <v>0.24003543380213271</v>
      </c>
      <c r="N152" s="189">
        <f t="shared" si="20"/>
        <v>0.1485535574667709</v>
      </c>
    </row>
    <row r="153" spans="1:14" hidden="1" outlineLevel="1">
      <c r="A153" s="180"/>
      <c r="B153" s="190" t="s">
        <v>841</v>
      </c>
      <c r="C153" s="186">
        <f t="shared" si="14"/>
        <v>0.28901734104046239</v>
      </c>
      <c r="E153" s="182">
        <v>42</v>
      </c>
      <c r="F153" s="183">
        <v>38</v>
      </c>
      <c r="G153" s="191">
        <f t="shared" si="15"/>
        <v>10.526315789473683</v>
      </c>
      <c r="H153" s="188">
        <f t="shared" si="16"/>
        <v>0.14928025590901015</v>
      </c>
      <c r="I153" s="188">
        <f t="shared" si="17"/>
        <v>0.1723512336719884</v>
      </c>
      <c r="J153" s="182">
        <v>347</v>
      </c>
      <c r="K153" s="183">
        <v>346</v>
      </c>
      <c r="L153" s="191">
        <f t="shared" si="18"/>
        <v>0.28901734104046239</v>
      </c>
      <c r="M153" s="188">
        <f t="shared" si="19"/>
        <v>0.16526249112964295</v>
      </c>
      <c r="N153" s="189">
        <f t="shared" si="20"/>
        <v>0.16907740422204848</v>
      </c>
    </row>
    <row r="154" spans="1:14" collapsed="1">
      <c r="A154" s="180" t="s">
        <v>1220</v>
      </c>
      <c r="B154" s="179" t="s">
        <v>284</v>
      </c>
      <c r="C154" s="186">
        <f t="shared" si="14"/>
        <v>-2.2512594458438286</v>
      </c>
      <c r="E154" s="182">
        <v>832</v>
      </c>
      <c r="F154" s="183">
        <v>621</v>
      </c>
      <c r="G154" s="191">
        <f t="shared" si="15"/>
        <v>33.977455716586149</v>
      </c>
      <c r="H154" s="188">
        <f t="shared" si="16"/>
        <v>2.9571707837213435</v>
      </c>
      <c r="I154" s="188">
        <f t="shared" si="17"/>
        <v>2.8165820029027575</v>
      </c>
      <c r="J154" s="182">
        <v>6209</v>
      </c>
      <c r="K154" s="183">
        <v>6352</v>
      </c>
      <c r="L154" s="191">
        <f t="shared" si="18"/>
        <v>-2.2512594458438286</v>
      </c>
      <c r="M154" s="188">
        <f t="shared" si="19"/>
        <v>2.9571031914234958</v>
      </c>
      <c r="N154" s="189">
        <f t="shared" si="20"/>
        <v>3.1039874902267393</v>
      </c>
    </row>
    <row r="155" spans="1:14" hidden="1" outlineLevel="1">
      <c r="A155" s="180"/>
      <c r="B155" s="190">
        <v>3008</v>
      </c>
      <c r="C155" s="186">
        <f t="shared" si="14"/>
        <v>8.2286432160804015</v>
      </c>
      <c r="E155" s="182">
        <v>276</v>
      </c>
      <c r="F155" s="183">
        <v>96</v>
      </c>
      <c r="G155" s="191">
        <f t="shared" si="15"/>
        <v>187.5</v>
      </c>
      <c r="H155" s="188">
        <f t="shared" si="16"/>
        <v>0.98098453883063796</v>
      </c>
      <c r="I155" s="188">
        <f t="shared" si="17"/>
        <v>0.43541364296081275</v>
      </c>
      <c r="J155" s="182">
        <v>1723</v>
      </c>
      <c r="K155" s="183">
        <v>1592</v>
      </c>
      <c r="L155" s="191">
        <f t="shared" si="18"/>
        <v>8.2286432160804015</v>
      </c>
      <c r="M155" s="188">
        <f t="shared" si="19"/>
        <v>0.82059732627197346</v>
      </c>
      <c r="N155" s="189">
        <f t="shared" si="20"/>
        <v>0.77795152462861616</v>
      </c>
    </row>
    <row r="156" spans="1:14" hidden="1" outlineLevel="1">
      <c r="A156" s="180"/>
      <c r="B156" s="190">
        <v>2008</v>
      </c>
      <c r="C156" s="186">
        <f t="shared" si="14"/>
        <v>-33.625218914185638</v>
      </c>
      <c r="E156" s="182">
        <v>194</v>
      </c>
      <c r="F156" s="183">
        <v>166</v>
      </c>
      <c r="G156" s="191">
        <f t="shared" si="15"/>
        <v>16.867469879518072</v>
      </c>
      <c r="H156" s="188">
        <f t="shared" si="16"/>
        <v>0.68953261062733251</v>
      </c>
      <c r="I156" s="188">
        <f t="shared" si="17"/>
        <v>0.75290275761973868</v>
      </c>
      <c r="J156" s="182">
        <v>1137</v>
      </c>
      <c r="K156" s="183">
        <v>1713</v>
      </c>
      <c r="L156" s="191">
        <f t="shared" si="18"/>
        <v>-33.625218914185638</v>
      </c>
      <c r="M156" s="188">
        <f t="shared" si="19"/>
        <v>0.54150850839885889</v>
      </c>
      <c r="N156" s="189">
        <f t="shared" si="20"/>
        <v>0.8370797498045347</v>
      </c>
    </row>
    <row r="157" spans="1:14" hidden="1" outlineLevel="1">
      <c r="A157" s="180"/>
      <c r="B157" s="190">
        <v>208</v>
      </c>
      <c r="C157" s="186">
        <f t="shared" si="14"/>
        <v>-42.887931034482754</v>
      </c>
      <c r="E157" s="182">
        <v>108</v>
      </c>
      <c r="F157" s="183">
        <v>233</v>
      </c>
      <c r="G157" s="191">
        <f t="shared" si="15"/>
        <v>-53.648068669527895</v>
      </c>
      <c r="H157" s="188">
        <f t="shared" si="16"/>
        <v>0.38386351519459749</v>
      </c>
      <c r="I157" s="188">
        <f t="shared" si="17"/>
        <v>1.0567851959361394</v>
      </c>
      <c r="J157" s="182">
        <v>1060</v>
      </c>
      <c r="K157" s="183">
        <v>1856</v>
      </c>
      <c r="L157" s="191">
        <f t="shared" si="18"/>
        <v>-42.887931034482754</v>
      </c>
      <c r="M157" s="188">
        <f t="shared" si="19"/>
        <v>0.50483642823464414</v>
      </c>
      <c r="N157" s="189">
        <f t="shared" si="20"/>
        <v>0.906958561376075</v>
      </c>
    </row>
    <row r="158" spans="1:14" hidden="1" outlineLevel="1">
      <c r="A158" s="180"/>
      <c r="B158" s="190">
        <v>308</v>
      </c>
      <c r="C158" s="186">
        <f t="shared" si="14"/>
        <v>83.243243243243242</v>
      </c>
      <c r="E158" s="182">
        <v>75</v>
      </c>
      <c r="F158" s="183">
        <v>84</v>
      </c>
      <c r="G158" s="191">
        <f t="shared" si="15"/>
        <v>-10.714285714285714</v>
      </c>
      <c r="H158" s="188">
        <f t="shared" si="16"/>
        <v>0.26657188555180378</v>
      </c>
      <c r="I158" s="188">
        <f t="shared" si="17"/>
        <v>0.38098693759071117</v>
      </c>
      <c r="J158" s="182">
        <v>1017</v>
      </c>
      <c r="K158" s="183">
        <v>555</v>
      </c>
      <c r="L158" s="191">
        <f t="shared" si="18"/>
        <v>83.243243243243242</v>
      </c>
      <c r="M158" s="188">
        <f t="shared" si="19"/>
        <v>0.48435721463644632</v>
      </c>
      <c r="N158" s="189">
        <f t="shared" si="20"/>
        <v>0.27120797498045351</v>
      </c>
    </row>
    <row r="159" spans="1:14" hidden="1" outlineLevel="1">
      <c r="A159" s="180"/>
      <c r="B159" s="190">
        <v>5008</v>
      </c>
      <c r="C159" s="186">
        <f t="shared" si="14"/>
        <v>163.84364820846906</v>
      </c>
      <c r="E159" s="182">
        <v>106</v>
      </c>
      <c r="F159" s="183">
        <v>22</v>
      </c>
      <c r="G159" s="191">
        <f t="shared" si="15"/>
        <v>381.81818181818181</v>
      </c>
      <c r="H159" s="188">
        <f t="shared" si="16"/>
        <v>0.37675493157988271</v>
      </c>
      <c r="I159" s="188">
        <f t="shared" si="17"/>
        <v>9.9782293178519582E-2</v>
      </c>
      <c r="J159" s="182">
        <v>810</v>
      </c>
      <c r="K159" s="183">
        <v>307</v>
      </c>
      <c r="L159" s="191">
        <f t="shared" si="18"/>
        <v>163.84364820846906</v>
      </c>
      <c r="M159" s="188">
        <f t="shared" si="19"/>
        <v>0.38577123289628473</v>
      </c>
      <c r="N159" s="189">
        <f t="shared" si="20"/>
        <v>0.1500195465207193</v>
      </c>
    </row>
    <row r="160" spans="1:14" hidden="1" outlineLevel="1">
      <c r="A160" s="180"/>
      <c r="B160" s="190">
        <v>408</v>
      </c>
      <c r="C160" s="186" t="str">
        <f t="shared" si="14"/>
        <v/>
      </c>
      <c r="E160" s="182">
        <v>16</v>
      </c>
      <c r="F160" s="183">
        <v>0</v>
      </c>
      <c r="G160" s="191" t="str">
        <f t="shared" si="15"/>
        <v/>
      </c>
      <c r="H160" s="188">
        <f t="shared" si="16"/>
        <v>5.6868668917718149E-2</v>
      </c>
      <c r="I160" s="188" t="str">
        <f t="shared" si="17"/>
        <v/>
      </c>
      <c r="J160" s="182">
        <v>263</v>
      </c>
      <c r="K160" s="183">
        <v>0</v>
      </c>
      <c r="L160" s="191" t="str">
        <f t="shared" si="18"/>
        <v/>
      </c>
      <c r="M160" s="188">
        <f t="shared" si="19"/>
        <v>0.12525658549595417</v>
      </c>
      <c r="N160" s="189" t="str">
        <f t="shared" si="20"/>
        <v/>
      </c>
    </row>
    <row r="161" spans="1:14" hidden="1" outlineLevel="1">
      <c r="A161" s="180"/>
      <c r="B161" s="190" t="s">
        <v>859</v>
      </c>
      <c r="C161" s="186">
        <f t="shared" si="14"/>
        <v>-10.465116279069768</v>
      </c>
      <c r="E161" s="182">
        <v>21</v>
      </c>
      <c r="F161" s="183">
        <v>10</v>
      </c>
      <c r="G161" s="191">
        <f t="shared" si="15"/>
        <v>110.00000000000001</v>
      </c>
      <c r="H161" s="188">
        <f t="shared" si="16"/>
        <v>7.4640127954505073E-2</v>
      </c>
      <c r="I161" s="188">
        <f t="shared" si="17"/>
        <v>4.5355587808417995E-2</v>
      </c>
      <c r="J161" s="182">
        <v>77</v>
      </c>
      <c r="K161" s="183">
        <v>86</v>
      </c>
      <c r="L161" s="191">
        <f t="shared" si="18"/>
        <v>-10.465116279069768</v>
      </c>
      <c r="M161" s="188">
        <f t="shared" si="19"/>
        <v>3.6672080164214714E-2</v>
      </c>
      <c r="N161" s="189">
        <f t="shared" si="20"/>
        <v>4.2025019546520714E-2</v>
      </c>
    </row>
    <row r="162" spans="1:14" hidden="1" outlineLevel="1">
      <c r="A162" s="180"/>
      <c r="B162" s="190" t="s">
        <v>860</v>
      </c>
      <c r="C162" s="186">
        <f t="shared" si="14"/>
        <v>-18.571428571428573</v>
      </c>
      <c r="E162" s="182">
        <v>24</v>
      </c>
      <c r="F162" s="183">
        <v>3</v>
      </c>
      <c r="G162" s="191">
        <f t="shared" si="15"/>
        <v>700</v>
      </c>
      <c r="H162" s="188">
        <f t="shared" si="16"/>
        <v>8.5303003376577216E-2</v>
      </c>
      <c r="I162" s="188">
        <f t="shared" si="17"/>
        <v>1.3606676342525399E-2</v>
      </c>
      <c r="J162" s="182">
        <v>57</v>
      </c>
      <c r="K162" s="183">
        <v>70</v>
      </c>
      <c r="L162" s="191">
        <f t="shared" si="18"/>
        <v>-18.571428571428573</v>
      </c>
      <c r="M162" s="188">
        <f t="shared" si="19"/>
        <v>2.7146864537145959E-2</v>
      </c>
      <c r="N162" s="189">
        <f t="shared" si="20"/>
        <v>3.4206411258795935E-2</v>
      </c>
    </row>
    <row r="163" spans="1:14" hidden="1" outlineLevel="1">
      <c r="A163" s="180"/>
      <c r="B163" s="190" t="s">
        <v>861</v>
      </c>
      <c r="C163" s="186">
        <f t="shared" si="14"/>
        <v>12.121212121212121</v>
      </c>
      <c r="E163" s="182">
        <v>9</v>
      </c>
      <c r="F163" s="183">
        <v>3</v>
      </c>
      <c r="G163" s="191">
        <f t="shared" si="15"/>
        <v>200</v>
      </c>
      <c r="H163" s="188">
        <f t="shared" si="16"/>
        <v>3.1988626266216458E-2</v>
      </c>
      <c r="I163" s="188">
        <f t="shared" si="17"/>
        <v>1.3606676342525399E-2</v>
      </c>
      <c r="J163" s="182">
        <v>37</v>
      </c>
      <c r="K163" s="183">
        <v>33</v>
      </c>
      <c r="L163" s="191">
        <f t="shared" si="18"/>
        <v>12.121212121212121</v>
      </c>
      <c r="M163" s="188">
        <f t="shared" si="19"/>
        <v>1.7621648910077201E-2</v>
      </c>
      <c r="N163" s="189">
        <f t="shared" si="20"/>
        <v>1.6125879593432368E-2</v>
      </c>
    </row>
    <row r="164" spans="1:14" hidden="1" outlineLevel="1">
      <c r="A164" s="180"/>
      <c r="B164" s="190">
        <v>508</v>
      </c>
      <c r="C164" s="186">
        <f t="shared" si="14"/>
        <v>-76.859504132231407</v>
      </c>
      <c r="E164" s="182">
        <v>3</v>
      </c>
      <c r="F164" s="183">
        <v>4</v>
      </c>
      <c r="G164" s="191">
        <f t="shared" si="15"/>
        <v>-25</v>
      </c>
      <c r="H164" s="188">
        <f t="shared" si="16"/>
        <v>1.0662875422072152E-2</v>
      </c>
      <c r="I164" s="188">
        <f t="shared" si="17"/>
        <v>1.8142235123367198E-2</v>
      </c>
      <c r="J164" s="182">
        <v>28</v>
      </c>
      <c r="K164" s="183">
        <v>121</v>
      </c>
      <c r="L164" s="191">
        <f t="shared" si="18"/>
        <v>-76.859504132231407</v>
      </c>
      <c r="M164" s="188">
        <f t="shared" si="19"/>
        <v>1.333530187789626E-2</v>
      </c>
      <c r="N164" s="189">
        <f t="shared" si="20"/>
        <v>5.9128225175918689E-2</v>
      </c>
    </row>
    <row r="165" spans="1:14" hidden="1" outlineLevel="1">
      <c r="A165" s="180"/>
      <c r="B165" s="190">
        <v>108</v>
      </c>
      <c r="C165" s="186">
        <f t="shared" si="14"/>
        <v>-100</v>
      </c>
      <c r="E165" s="182">
        <v>0</v>
      </c>
      <c r="F165" s="183">
        <v>0</v>
      </c>
      <c r="G165" s="191" t="str">
        <f t="shared" si="15"/>
        <v/>
      </c>
      <c r="H165" s="188" t="str">
        <f t="shared" si="16"/>
        <v/>
      </c>
      <c r="I165" s="188" t="str">
        <f t="shared" si="17"/>
        <v/>
      </c>
      <c r="J165" s="182">
        <v>0</v>
      </c>
      <c r="K165" s="183">
        <v>19</v>
      </c>
      <c r="L165" s="191">
        <f t="shared" si="18"/>
        <v>-100</v>
      </c>
      <c r="M165" s="188" t="str">
        <f t="shared" si="19"/>
        <v/>
      </c>
      <c r="N165" s="189">
        <f t="shared" si="20"/>
        <v>9.2845973416731814E-3</v>
      </c>
    </row>
    <row r="166" spans="1:14" collapsed="1">
      <c r="A166" s="180" t="s">
        <v>1244</v>
      </c>
      <c r="B166" s="179" t="s">
        <v>589</v>
      </c>
      <c r="C166" s="186">
        <f t="shared" si="14"/>
        <v>4.6151039766508575</v>
      </c>
      <c r="E166" s="182">
        <v>1354</v>
      </c>
      <c r="F166" s="183">
        <v>548</v>
      </c>
      <c r="G166" s="191">
        <f t="shared" si="15"/>
        <v>147.08029197080293</v>
      </c>
      <c r="H166" s="188">
        <f t="shared" si="16"/>
        <v>4.8125111071618978</v>
      </c>
      <c r="I166" s="188">
        <f t="shared" si="17"/>
        <v>2.4854862119013061</v>
      </c>
      <c r="J166" s="182">
        <v>5735</v>
      </c>
      <c r="K166" s="183">
        <v>5482</v>
      </c>
      <c r="L166" s="191">
        <f t="shared" si="18"/>
        <v>4.6151039766508575</v>
      </c>
      <c r="M166" s="188">
        <f t="shared" si="19"/>
        <v>2.7313555810619663</v>
      </c>
      <c r="N166" s="189">
        <f t="shared" si="20"/>
        <v>2.6788506645817045</v>
      </c>
    </row>
    <row r="167" spans="1:14" hidden="1" outlineLevel="1">
      <c r="A167" s="180"/>
      <c r="B167" s="190" t="s">
        <v>1006</v>
      </c>
      <c r="C167" s="186">
        <f t="shared" si="14"/>
        <v>31266.666666666668</v>
      </c>
      <c r="E167" s="182">
        <v>451</v>
      </c>
      <c r="F167" s="183">
        <v>6</v>
      </c>
      <c r="G167" s="191">
        <f t="shared" si="15"/>
        <v>7416.666666666667</v>
      </c>
      <c r="H167" s="188">
        <f t="shared" si="16"/>
        <v>1.6029856051181801</v>
      </c>
      <c r="I167" s="188">
        <f t="shared" si="17"/>
        <v>2.7213352685050797E-2</v>
      </c>
      <c r="J167" s="182">
        <v>1882</v>
      </c>
      <c r="K167" s="183">
        <v>6</v>
      </c>
      <c r="L167" s="191">
        <f t="shared" si="18"/>
        <v>31266.666666666668</v>
      </c>
      <c r="M167" s="188">
        <f t="shared" si="19"/>
        <v>0.89632279050717001</v>
      </c>
      <c r="N167" s="189">
        <f t="shared" si="20"/>
        <v>2.9319781078967944E-3</v>
      </c>
    </row>
    <row r="168" spans="1:14" hidden="1" outlineLevel="1">
      <c r="A168" s="180"/>
      <c r="B168" s="190" t="s">
        <v>865</v>
      </c>
      <c r="C168" s="186">
        <f t="shared" si="14"/>
        <v>101.65184243964423</v>
      </c>
      <c r="E168" s="182">
        <v>211</v>
      </c>
      <c r="F168" s="183">
        <v>147</v>
      </c>
      <c r="G168" s="191">
        <f t="shared" si="15"/>
        <v>43.537414965986393</v>
      </c>
      <c r="H168" s="188">
        <f t="shared" si="16"/>
        <v>0.74995557135240809</v>
      </c>
      <c r="I168" s="188">
        <f t="shared" si="17"/>
        <v>0.66672714078374462</v>
      </c>
      <c r="J168" s="182">
        <v>1587</v>
      </c>
      <c r="K168" s="183">
        <v>787</v>
      </c>
      <c r="L168" s="191">
        <f t="shared" si="18"/>
        <v>101.65184243964423</v>
      </c>
      <c r="M168" s="188">
        <f t="shared" si="19"/>
        <v>0.75582586000790597</v>
      </c>
      <c r="N168" s="189">
        <f t="shared" si="20"/>
        <v>0.38457779515246288</v>
      </c>
    </row>
    <row r="169" spans="1:14" hidden="1" outlineLevel="1">
      <c r="A169" s="180"/>
      <c r="B169" s="190" t="s">
        <v>864</v>
      </c>
      <c r="C169" s="186">
        <f t="shared" si="14"/>
        <v>-0.3593890386343217</v>
      </c>
      <c r="E169" s="182">
        <v>314</v>
      </c>
      <c r="F169" s="183">
        <v>242</v>
      </c>
      <c r="G169" s="191">
        <f t="shared" si="15"/>
        <v>29.75206611570248</v>
      </c>
      <c r="H169" s="188">
        <f t="shared" si="16"/>
        <v>1.1160476275102187</v>
      </c>
      <c r="I169" s="188">
        <f t="shared" si="17"/>
        <v>1.0976052249637154</v>
      </c>
      <c r="J169" s="182">
        <v>1109</v>
      </c>
      <c r="K169" s="183">
        <v>1113</v>
      </c>
      <c r="L169" s="191">
        <f t="shared" si="18"/>
        <v>-0.3593890386343217</v>
      </c>
      <c r="M169" s="188">
        <f t="shared" si="19"/>
        <v>0.52817320652096256</v>
      </c>
      <c r="N169" s="189">
        <f t="shared" si="20"/>
        <v>0.54388193901485538</v>
      </c>
    </row>
    <row r="170" spans="1:14" hidden="1" outlineLevel="1">
      <c r="A170" s="180"/>
      <c r="B170" s="190" t="s">
        <v>863</v>
      </c>
      <c r="C170" s="186">
        <f t="shared" si="14"/>
        <v>-58.145814581458147</v>
      </c>
      <c r="E170" s="182">
        <v>298</v>
      </c>
      <c r="F170" s="183">
        <v>148</v>
      </c>
      <c r="G170" s="191">
        <f t="shared" si="15"/>
        <v>101.35135135135135</v>
      </c>
      <c r="H170" s="188">
        <f t="shared" si="16"/>
        <v>1.0591789585925004</v>
      </c>
      <c r="I170" s="188">
        <f t="shared" si="17"/>
        <v>0.6712626995645864</v>
      </c>
      <c r="J170" s="182">
        <v>930</v>
      </c>
      <c r="K170" s="183">
        <v>2222</v>
      </c>
      <c r="L170" s="191">
        <f t="shared" si="18"/>
        <v>-58.145814581458147</v>
      </c>
      <c r="M170" s="188">
        <f t="shared" si="19"/>
        <v>0.44292252665869725</v>
      </c>
      <c r="N170" s="189">
        <f t="shared" si="20"/>
        <v>1.0858092259577794</v>
      </c>
    </row>
    <row r="171" spans="1:14" hidden="1" outlineLevel="1">
      <c r="A171" s="180"/>
      <c r="B171" s="190" t="s">
        <v>862</v>
      </c>
      <c r="C171" s="186">
        <f t="shared" si="14"/>
        <v>-83.23485967503693</v>
      </c>
      <c r="E171" s="182">
        <v>80</v>
      </c>
      <c r="F171" s="183">
        <v>5</v>
      </c>
      <c r="G171" s="191">
        <f t="shared" si="15"/>
        <v>1500</v>
      </c>
      <c r="H171" s="188">
        <f t="shared" si="16"/>
        <v>0.28434334458859073</v>
      </c>
      <c r="I171" s="188">
        <f t="shared" si="17"/>
        <v>2.2677793904208998E-2</v>
      </c>
      <c r="J171" s="182">
        <v>227</v>
      </c>
      <c r="K171" s="183">
        <v>1354</v>
      </c>
      <c r="L171" s="191">
        <f t="shared" si="18"/>
        <v>-83.23485967503693</v>
      </c>
      <c r="M171" s="188">
        <f t="shared" si="19"/>
        <v>0.1081111973672304</v>
      </c>
      <c r="N171" s="189">
        <f t="shared" si="20"/>
        <v>0.66164972634870989</v>
      </c>
    </row>
    <row r="172" spans="1:14" collapsed="1">
      <c r="A172" s="180" t="s">
        <v>1245</v>
      </c>
      <c r="B172" s="179" t="s">
        <v>266</v>
      </c>
      <c r="C172" s="186">
        <f t="shared" si="14"/>
        <v>-40.137003678802486</v>
      </c>
      <c r="E172" s="182">
        <v>380</v>
      </c>
      <c r="F172" s="183">
        <v>810</v>
      </c>
      <c r="G172" s="191">
        <f t="shared" si="15"/>
        <v>-53.086419753086425</v>
      </c>
      <c r="H172" s="188">
        <f t="shared" si="16"/>
        <v>1.3506308867958059</v>
      </c>
      <c r="I172" s="188">
        <f t="shared" si="17"/>
        <v>3.6738026124818579</v>
      </c>
      <c r="J172" s="182">
        <v>4719</v>
      </c>
      <c r="K172" s="183">
        <v>7883</v>
      </c>
      <c r="L172" s="191">
        <f t="shared" si="18"/>
        <v>-40.137003678802486</v>
      </c>
      <c r="M172" s="188">
        <f t="shared" si="19"/>
        <v>2.2474746272068731</v>
      </c>
      <c r="N172" s="189">
        <f t="shared" si="20"/>
        <v>3.8521305707584053</v>
      </c>
    </row>
    <row r="173" spans="1:14" hidden="1" outlineLevel="1">
      <c r="A173" s="180"/>
      <c r="B173" s="190" t="s">
        <v>846</v>
      </c>
      <c r="C173" s="186">
        <f t="shared" si="14"/>
        <v>-50.492914356130626</v>
      </c>
      <c r="E173" s="182">
        <v>180</v>
      </c>
      <c r="F173" s="183">
        <v>207</v>
      </c>
      <c r="G173" s="191">
        <f t="shared" si="15"/>
        <v>-13.043478260869565</v>
      </c>
      <c r="H173" s="188">
        <f t="shared" si="16"/>
        <v>0.63977252532432904</v>
      </c>
      <c r="I173" s="188">
        <f t="shared" si="17"/>
        <v>0.93886066763425258</v>
      </c>
      <c r="J173" s="182">
        <v>1607</v>
      </c>
      <c r="K173" s="183">
        <v>3246</v>
      </c>
      <c r="L173" s="191">
        <f t="shared" si="18"/>
        <v>-50.492914356130626</v>
      </c>
      <c r="M173" s="188">
        <f t="shared" si="19"/>
        <v>0.76535107563497473</v>
      </c>
      <c r="N173" s="189">
        <f t="shared" si="20"/>
        <v>1.5862001563721657</v>
      </c>
    </row>
    <row r="174" spans="1:14" hidden="1" outlineLevel="1">
      <c r="A174" s="180"/>
      <c r="B174" s="190" t="s">
        <v>847</v>
      </c>
      <c r="C174" s="186">
        <f t="shared" si="14"/>
        <v>25.446808510638299</v>
      </c>
      <c r="E174" s="182">
        <v>70</v>
      </c>
      <c r="F174" s="183">
        <v>94</v>
      </c>
      <c r="G174" s="191">
        <f t="shared" si="15"/>
        <v>-25.531914893617021</v>
      </c>
      <c r="H174" s="188">
        <f t="shared" si="16"/>
        <v>0.24880042651501691</v>
      </c>
      <c r="I174" s="188">
        <f t="shared" si="17"/>
        <v>0.4263425253991292</v>
      </c>
      <c r="J174" s="182">
        <v>1474</v>
      </c>
      <c r="K174" s="183">
        <v>1175</v>
      </c>
      <c r="L174" s="191">
        <f t="shared" si="18"/>
        <v>25.446808510638299</v>
      </c>
      <c r="M174" s="188">
        <f t="shared" si="19"/>
        <v>0.70200839171496743</v>
      </c>
      <c r="N174" s="189">
        <f t="shared" si="20"/>
        <v>0.57417904612978887</v>
      </c>
    </row>
    <row r="175" spans="1:14" hidden="1" outlineLevel="1">
      <c r="A175" s="180"/>
      <c r="B175" s="190" t="s">
        <v>848</v>
      </c>
      <c r="C175" s="186">
        <f t="shared" si="14"/>
        <v>-67.067307692307693</v>
      </c>
      <c r="E175" s="182">
        <v>38</v>
      </c>
      <c r="F175" s="183">
        <v>137</v>
      </c>
      <c r="G175" s="191">
        <f t="shared" si="15"/>
        <v>-72.262773722627742</v>
      </c>
      <c r="H175" s="188">
        <f t="shared" si="16"/>
        <v>0.13506308867958058</v>
      </c>
      <c r="I175" s="188">
        <f t="shared" si="17"/>
        <v>0.62137155297532654</v>
      </c>
      <c r="J175" s="182">
        <v>411</v>
      </c>
      <c r="K175" s="183">
        <v>1248</v>
      </c>
      <c r="L175" s="191">
        <f t="shared" si="18"/>
        <v>-67.067307692307693</v>
      </c>
      <c r="M175" s="188">
        <f t="shared" si="19"/>
        <v>0.19574318113626299</v>
      </c>
      <c r="N175" s="189">
        <f t="shared" si="20"/>
        <v>0.60985144644253331</v>
      </c>
    </row>
    <row r="176" spans="1:14" hidden="1" outlineLevel="1">
      <c r="A176" s="180"/>
      <c r="B176" s="190" t="s">
        <v>850</v>
      </c>
      <c r="C176" s="186">
        <f t="shared" si="14"/>
        <v>-24.611973392461199</v>
      </c>
      <c r="E176" s="182">
        <v>31</v>
      </c>
      <c r="F176" s="183">
        <v>47</v>
      </c>
      <c r="G176" s="191">
        <f t="shared" si="15"/>
        <v>-34.042553191489361</v>
      </c>
      <c r="H176" s="188">
        <f t="shared" si="16"/>
        <v>0.11018304602807891</v>
      </c>
      <c r="I176" s="188">
        <f t="shared" si="17"/>
        <v>0.2131712626995646</v>
      </c>
      <c r="J176" s="182">
        <v>340</v>
      </c>
      <c r="K176" s="183">
        <v>451</v>
      </c>
      <c r="L176" s="191">
        <f t="shared" si="18"/>
        <v>-24.611973392461199</v>
      </c>
      <c r="M176" s="188">
        <f t="shared" si="19"/>
        <v>0.16192866566016886</v>
      </c>
      <c r="N176" s="189">
        <f t="shared" si="20"/>
        <v>0.22038702111024239</v>
      </c>
    </row>
    <row r="177" spans="1:14" hidden="1" outlineLevel="1">
      <c r="A177" s="180"/>
      <c r="B177" s="190" t="s">
        <v>851</v>
      </c>
      <c r="C177" s="186">
        <f t="shared" si="14"/>
        <v>-56.000000000000007</v>
      </c>
      <c r="E177" s="182">
        <v>33</v>
      </c>
      <c r="F177" s="183">
        <v>180</v>
      </c>
      <c r="G177" s="191">
        <f t="shared" si="15"/>
        <v>-81.666666666666671</v>
      </c>
      <c r="H177" s="188">
        <f t="shared" si="16"/>
        <v>0.11729162964279366</v>
      </c>
      <c r="I177" s="188">
        <f t="shared" si="17"/>
        <v>0.81640058055152398</v>
      </c>
      <c r="J177" s="182">
        <v>220</v>
      </c>
      <c r="K177" s="183">
        <v>500</v>
      </c>
      <c r="L177" s="191">
        <f t="shared" si="18"/>
        <v>-56.000000000000007</v>
      </c>
      <c r="M177" s="188">
        <f t="shared" si="19"/>
        <v>0.10477737189775634</v>
      </c>
      <c r="N177" s="189">
        <f t="shared" si="20"/>
        <v>0.24433150899139952</v>
      </c>
    </row>
    <row r="178" spans="1:14" hidden="1" outlineLevel="1">
      <c r="A178" s="180"/>
      <c r="B178" s="190" t="s">
        <v>857</v>
      </c>
      <c r="C178" s="186">
        <f t="shared" si="14"/>
        <v>50</v>
      </c>
      <c r="E178" s="182">
        <v>5</v>
      </c>
      <c r="F178" s="183">
        <v>5</v>
      </c>
      <c r="G178" s="191">
        <f t="shared" si="15"/>
        <v>0</v>
      </c>
      <c r="H178" s="188">
        <f t="shared" si="16"/>
        <v>1.7771459036786921E-2</v>
      </c>
      <c r="I178" s="188">
        <f t="shared" si="17"/>
        <v>2.2677793904208998E-2</v>
      </c>
      <c r="J178" s="182">
        <v>177</v>
      </c>
      <c r="K178" s="183">
        <v>118</v>
      </c>
      <c r="L178" s="191">
        <f t="shared" si="18"/>
        <v>50</v>
      </c>
      <c r="M178" s="188">
        <f t="shared" si="19"/>
        <v>8.4298158299558515E-2</v>
      </c>
      <c r="N178" s="189">
        <f t="shared" si="20"/>
        <v>5.7662236121970287E-2</v>
      </c>
    </row>
    <row r="179" spans="1:14" hidden="1" outlineLevel="1">
      <c r="A179" s="180"/>
      <c r="B179" s="190" t="s">
        <v>852</v>
      </c>
      <c r="C179" s="186">
        <f t="shared" si="14"/>
        <v>-42.25352112676056</v>
      </c>
      <c r="E179" s="182">
        <v>10</v>
      </c>
      <c r="F179" s="183">
        <v>30</v>
      </c>
      <c r="G179" s="191">
        <f t="shared" si="15"/>
        <v>-66.666666666666657</v>
      </c>
      <c r="H179" s="188">
        <f t="shared" si="16"/>
        <v>3.5542918073573841E-2</v>
      </c>
      <c r="I179" s="188">
        <f t="shared" si="17"/>
        <v>0.13606676342525398</v>
      </c>
      <c r="J179" s="182">
        <v>123</v>
      </c>
      <c r="K179" s="183">
        <v>213</v>
      </c>
      <c r="L179" s="191">
        <f t="shared" si="18"/>
        <v>-42.25352112676056</v>
      </c>
      <c r="M179" s="188">
        <f t="shared" si="19"/>
        <v>5.8580076106472867E-2</v>
      </c>
      <c r="N179" s="189">
        <f t="shared" si="20"/>
        <v>0.10408522283033619</v>
      </c>
    </row>
    <row r="180" spans="1:14" hidden="1" outlineLevel="1">
      <c r="A180" s="180"/>
      <c r="B180" s="190" t="s">
        <v>853</v>
      </c>
      <c r="C180" s="186">
        <f t="shared" si="14"/>
        <v>-30.37974683544304</v>
      </c>
      <c r="E180" s="182">
        <v>0</v>
      </c>
      <c r="F180" s="183">
        <v>27</v>
      </c>
      <c r="G180" s="191">
        <f t="shared" si="15"/>
        <v>-100</v>
      </c>
      <c r="H180" s="188" t="str">
        <f t="shared" si="16"/>
        <v/>
      </c>
      <c r="I180" s="188">
        <f t="shared" si="17"/>
        <v>0.12246008708272858</v>
      </c>
      <c r="J180" s="182">
        <v>110</v>
      </c>
      <c r="K180" s="183">
        <v>158</v>
      </c>
      <c r="L180" s="191">
        <f t="shared" si="18"/>
        <v>-30.37974683544304</v>
      </c>
      <c r="M180" s="188">
        <f t="shared" si="19"/>
        <v>5.2388685948878168E-2</v>
      </c>
      <c r="N180" s="189">
        <f t="shared" si="20"/>
        <v>7.7208756841282256E-2</v>
      </c>
    </row>
    <row r="181" spans="1:14" hidden="1" outlineLevel="1">
      <c r="A181" s="180"/>
      <c r="B181" s="190" t="s">
        <v>856</v>
      </c>
      <c r="C181" s="186">
        <f t="shared" si="14"/>
        <v>140.47619047619045</v>
      </c>
      <c r="E181" s="182">
        <v>3</v>
      </c>
      <c r="F181" s="183">
        <v>1</v>
      </c>
      <c r="G181" s="191">
        <f t="shared" si="15"/>
        <v>200</v>
      </c>
      <c r="H181" s="188">
        <f t="shared" si="16"/>
        <v>1.0662875422072152E-2</v>
      </c>
      <c r="I181" s="188">
        <f t="shared" si="17"/>
        <v>4.5355587808417995E-3</v>
      </c>
      <c r="J181" s="182">
        <v>101</v>
      </c>
      <c r="K181" s="183">
        <v>42</v>
      </c>
      <c r="L181" s="191">
        <f t="shared" si="18"/>
        <v>140.47619047619045</v>
      </c>
      <c r="M181" s="188">
        <f t="shared" si="19"/>
        <v>4.8102338916697227E-2</v>
      </c>
      <c r="N181" s="189">
        <f t="shared" si="20"/>
        <v>2.0523846755277561E-2</v>
      </c>
    </row>
    <row r="182" spans="1:14" hidden="1" outlineLevel="1">
      <c r="A182" s="180"/>
      <c r="B182" s="190" t="s">
        <v>858</v>
      </c>
      <c r="C182" s="186">
        <f t="shared" si="14"/>
        <v>345.45454545454544</v>
      </c>
      <c r="E182" s="182">
        <v>9</v>
      </c>
      <c r="F182" s="183">
        <v>9</v>
      </c>
      <c r="G182" s="191">
        <f t="shared" si="15"/>
        <v>0</v>
      </c>
      <c r="H182" s="188">
        <f t="shared" si="16"/>
        <v>3.1988626266216458E-2</v>
      </c>
      <c r="I182" s="188">
        <f t="shared" si="17"/>
        <v>4.0820029027576199E-2</v>
      </c>
      <c r="J182" s="182">
        <v>98</v>
      </c>
      <c r="K182" s="183">
        <v>22</v>
      </c>
      <c r="L182" s="191">
        <f t="shared" si="18"/>
        <v>345.45454545454544</v>
      </c>
      <c r="M182" s="188">
        <f t="shared" si="19"/>
        <v>4.6673556572636915E-2</v>
      </c>
      <c r="N182" s="189">
        <f t="shared" si="20"/>
        <v>1.075058639562158E-2</v>
      </c>
    </row>
    <row r="183" spans="1:14" hidden="1" outlineLevel="1">
      <c r="A183" s="180"/>
      <c r="B183" s="190" t="s">
        <v>854</v>
      </c>
      <c r="C183" s="186">
        <f t="shared" si="14"/>
        <v>-88.851351351351354</v>
      </c>
      <c r="E183" s="182">
        <v>0</v>
      </c>
      <c r="F183" s="183">
        <v>68</v>
      </c>
      <c r="G183" s="191">
        <f t="shared" si="15"/>
        <v>-100</v>
      </c>
      <c r="H183" s="188" t="str">
        <f t="shared" si="16"/>
        <v/>
      </c>
      <c r="I183" s="188">
        <f t="shared" si="17"/>
        <v>0.30841799709724238</v>
      </c>
      <c r="J183" s="182">
        <v>33</v>
      </c>
      <c r="K183" s="183">
        <v>296</v>
      </c>
      <c r="L183" s="191">
        <f t="shared" si="18"/>
        <v>-88.851351351351354</v>
      </c>
      <c r="M183" s="188">
        <f t="shared" si="19"/>
        <v>1.571660578466345E-2</v>
      </c>
      <c r="N183" s="189">
        <f t="shared" si="20"/>
        <v>0.14464425332290853</v>
      </c>
    </row>
    <row r="184" spans="1:14" hidden="1" outlineLevel="1">
      <c r="A184" s="180"/>
      <c r="B184" s="190" t="s">
        <v>855</v>
      </c>
      <c r="C184" s="186">
        <f t="shared" si="14"/>
        <v>-66.153846153846146</v>
      </c>
      <c r="E184" s="182">
        <v>0</v>
      </c>
      <c r="F184" s="183">
        <v>1</v>
      </c>
      <c r="G184" s="191">
        <f t="shared" si="15"/>
        <v>-100</v>
      </c>
      <c r="H184" s="188" t="str">
        <f t="shared" si="16"/>
        <v/>
      </c>
      <c r="I184" s="188">
        <f t="shared" si="17"/>
        <v>4.5355587808417995E-3</v>
      </c>
      <c r="J184" s="182">
        <v>22</v>
      </c>
      <c r="K184" s="183">
        <v>65</v>
      </c>
      <c r="L184" s="191">
        <f t="shared" si="18"/>
        <v>-66.153846153846146</v>
      </c>
      <c r="M184" s="188">
        <f t="shared" si="19"/>
        <v>1.0477737189775634E-2</v>
      </c>
      <c r="N184" s="189">
        <f t="shared" si="20"/>
        <v>3.1763096168881941E-2</v>
      </c>
    </row>
    <row r="185" spans="1:14" hidden="1" outlineLevel="1">
      <c r="A185" s="180"/>
      <c r="B185" s="190" t="s">
        <v>1143</v>
      </c>
      <c r="C185" s="186">
        <f t="shared" si="14"/>
        <v>100</v>
      </c>
      <c r="E185" s="182">
        <v>0</v>
      </c>
      <c r="F185" s="183">
        <v>0</v>
      </c>
      <c r="G185" s="191" t="str">
        <f t="shared" si="15"/>
        <v/>
      </c>
      <c r="H185" s="188" t="str">
        <f t="shared" si="16"/>
        <v/>
      </c>
      <c r="I185" s="188" t="str">
        <f t="shared" si="17"/>
        <v/>
      </c>
      <c r="J185" s="182">
        <v>2</v>
      </c>
      <c r="K185" s="183">
        <v>1</v>
      </c>
      <c r="L185" s="191">
        <f t="shared" si="18"/>
        <v>100</v>
      </c>
      <c r="M185" s="188">
        <f t="shared" si="19"/>
        <v>9.5252156270687579E-4</v>
      </c>
      <c r="N185" s="189">
        <f t="shared" si="20"/>
        <v>4.8866301798279903E-4</v>
      </c>
    </row>
    <row r="186" spans="1:14" hidden="1" outlineLevel="1">
      <c r="A186" s="180"/>
      <c r="B186" s="190" t="s">
        <v>1288</v>
      </c>
      <c r="C186" s="186" t="str">
        <f t="shared" si="14"/>
        <v/>
      </c>
      <c r="E186" s="182">
        <v>1</v>
      </c>
      <c r="F186" s="183">
        <v>0</v>
      </c>
      <c r="G186" s="191" t="str">
        <f t="shared" si="15"/>
        <v/>
      </c>
      <c r="H186" s="188">
        <f t="shared" si="16"/>
        <v>3.5542918073573843E-3</v>
      </c>
      <c r="I186" s="188" t="str">
        <f t="shared" si="17"/>
        <v/>
      </c>
      <c r="J186" s="182">
        <v>1</v>
      </c>
      <c r="K186" s="183">
        <v>0</v>
      </c>
      <c r="L186" s="191" t="str">
        <f t="shared" si="18"/>
        <v/>
      </c>
      <c r="M186" s="188">
        <f t="shared" si="19"/>
        <v>4.7626078135343789E-4</v>
      </c>
      <c r="N186" s="189" t="str">
        <f t="shared" si="20"/>
        <v/>
      </c>
    </row>
    <row r="187" spans="1:14" hidden="1" outlineLevel="1">
      <c r="A187" s="180"/>
      <c r="B187" s="190" t="s">
        <v>849</v>
      </c>
      <c r="C187" s="186">
        <f t="shared" si="14"/>
        <v>-100</v>
      </c>
      <c r="E187" s="182">
        <v>0</v>
      </c>
      <c r="F187" s="183">
        <v>4</v>
      </c>
      <c r="G187" s="191">
        <f t="shared" si="15"/>
        <v>-100</v>
      </c>
      <c r="H187" s="188" t="str">
        <f t="shared" si="16"/>
        <v/>
      </c>
      <c r="I187" s="188">
        <f t="shared" si="17"/>
        <v>1.8142235123367198E-2</v>
      </c>
      <c r="J187" s="182">
        <v>0</v>
      </c>
      <c r="K187" s="183">
        <v>345</v>
      </c>
      <c r="L187" s="191">
        <f t="shared" si="18"/>
        <v>-100</v>
      </c>
      <c r="M187" s="188" t="str">
        <f t="shared" si="19"/>
        <v/>
      </c>
      <c r="N187" s="189">
        <f t="shared" si="20"/>
        <v>0.1685887412040657</v>
      </c>
    </row>
    <row r="188" spans="1:14" hidden="1" outlineLevel="1">
      <c r="A188" s="180"/>
      <c r="B188" s="190" t="s">
        <v>1111</v>
      </c>
      <c r="C188" s="186">
        <f t="shared" si="14"/>
        <v>-100</v>
      </c>
      <c r="E188" s="182">
        <v>0</v>
      </c>
      <c r="F188" s="183">
        <v>0</v>
      </c>
      <c r="G188" s="191" t="str">
        <f t="shared" si="15"/>
        <v/>
      </c>
      <c r="H188" s="188" t="str">
        <f t="shared" si="16"/>
        <v/>
      </c>
      <c r="I188" s="188" t="str">
        <f t="shared" si="17"/>
        <v/>
      </c>
      <c r="J188" s="182">
        <v>0</v>
      </c>
      <c r="K188" s="183">
        <v>2</v>
      </c>
      <c r="L188" s="191">
        <f t="shared" si="18"/>
        <v>-100</v>
      </c>
      <c r="M188" s="188" t="str">
        <f t="shared" si="19"/>
        <v/>
      </c>
      <c r="N188" s="189">
        <f t="shared" si="20"/>
        <v>9.7732603596559805E-4</v>
      </c>
    </row>
    <row r="189" spans="1:14" hidden="1" outlineLevel="1">
      <c r="A189" s="180"/>
      <c r="B189" s="190" t="s">
        <v>810</v>
      </c>
      <c r="C189" s="186">
        <f t="shared" si="14"/>
        <v>-100</v>
      </c>
      <c r="E189" s="182">
        <v>0</v>
      </c>
      <c r="F189" s="183">
        <v>0</v>
      </c>
      <c r="G189" s="191" t="str">
        <f t="shared" si="15"/>
        <v/>
      </c>
      <c r="H189" s="188" t="str">
        <f t="shared" si="16"/>
        <v/>
      </c>
      <c r="I189" s="188" t="str">
        <f t="shared" si="17"/>
        <v/>
      </c>
      <c r="J189" s="182">
        <v>0</v>
      </c>
      <c r="K189" s="183">
        <v>1</v>
      </c>
      <c r="L189" s="191">
        <f t="shared" si="18"/>
        <v>-100</v>
      </c>
      <c r="M189" s="188" t="str">
        <f t="shared" si="19"/>
        <v/>
      </c>
      <c r="N189" s="189">
        <f t="shared" si="20"/>
        <v>4.8866301798279903E-4</v>
      </c>
    </row>
    <row r="190" spans="1:14" collapsed="1">
      <c r="A190" s="180" t="s">
        <v>1289</v>
      </c>
      <c r="B190" s="179" t="s">
        <v>268</v>
      </c>
      <c r="C190" s="186">
        <f t="shared" si="14"/>
        <v>-1.7800536454523286</v>
      </c>
      <c r="E190" s="182">
        <v>548</v>
      </c>
      <c r="F190" s="183">
        <v>521</v>
      </c>
      <c r="G190" s="191">
        <f t="shared" si="15"/>
        <v>5.182341650671785</v>
      </c>
      <c r="H190" s="188">
        <f t="shared" si="16"/>
        <v>1.9477519104318466</v>
      </c>
      <c r="I190" s="188">
        <f t="shared" si="17"/>
        <v>2.3630261248185778</v>
      </c>
      <c r="J190" s="182">
        <v>4028</v>
      </c>
      <c r="K190" s="183">
        <v>4101</v>
      </c>
      <c r="L190" s="191">
        <f t="shared" si="18"/>
        <v>-1.7800536454523286</v>
      </c>
      <c r="M190" s="188">
        <f t="shared" si="19"/>
        <v>1.9183784272916475</v>
      </c>
      <c r="N190" s="189">
        <f t="shared" si="20"/>
        <v>2.0040070367474589</v>
      </c>
    </row>
    <row r="191" spans="1:14" hidden="1" outlineLevel="1">
      <c r="A191" s="180"/>
      <c r="B191" s="190" t="s">
        <v>874</v>
      </c>
      <c r="C191" s="186">
        <f t="shared" si="14"/>
        <v>5.8237547892720309</v>
      </c>
      <c r="E191" s="182">
        <v>173</v>
      </c>
      <c r="F191" s="183">
        <v>226</v>
      </c>
      <c r="G191" s="191">
        <f t="shared" si="15"/>
        <v>-23.451327433628318</v>
      </c>
      <c r="H191" s="188">
        <f t="shared" si="16"/>
        <v>0.61489248267282748</v>
      </c>
      <c r="I191" s="188">
        <f t="shared" si="17"/>
        <v>1.0250362844702468</v>
      </c>
      <c r="J191" s="182">
        <v>1381</v>
      </c>
      <c r="K191" s="183">
        <v>1305</v>
      </c>
      <c r="L191" s="191">
        <f t="shared" si="18"/>
        <v>5.8237547892720309</v>
      </c>
      <c r="M191" s="188">
        <f t="shared" si="19"/>
        <v>0.65771613904909765</v>
      </c>
      <c r="N191" s="189">
        <f t="shared" si="20"/>
        <v>0.63770523846755278</v>
      </c>
    </row>
    <row r="192" spans="1:14" hidden="1" outlineLevel="1">
      <c r="A192" s="180"/>
      <c r="B192" s="190" t="s">
        <v>875</v>
      </c>
      <c r="C192" s="186">
        <f t="shared" si="14"/>
        <v>-32.735426008968609</v>
      </c>
      <c r="E192" s="182">
        <v>98</v>
      </c>
      <c r="F192" s="183">
        <v>103</v>
      </c>
      <c r="G192" s="191">
        <f t="shared" si="15"/>
        <v>-4.8543689320388346</v>
      </c>
      <c r="H192" s="188">
        <f t="shared" si="16"/>
        <v>0.34832059712102365</v>
      </c>
      <c r="I192" s="188">
        <f t="shared" si="17"/>
        <v>0.4671625544267054</v>
      </c>
      <c r="J192" s="182">
        <v>600</v>
      </c>
      <c r="K192" s="183">
        <v>892</v>
      </c>
      <c r="L192" s="191">
        <f t="shared" si="18"/>
        <v>-32.735426008968609</v>
      </c>
      <c r="M192" s="188">
        <f t="shared" si="19"/>
        <v>0.28575646881206274</v>
      </c>
      <c r="N192" s="189">
        <f t="shared" si="20"/>
        <v>0.43588741204065679</v>
      </c>
    </row>
    <row r="193" spans="1:14" hidden="1" outlineLevel="1">
      <c r="A193" s="180"/>
      <c r="B193" s="190" t="s">
        <v>877</v>
      </c>
      <c r="C193" s="186">
        <f t="shared" si="14"/>
        <v>61.97604790419161</v>
      </c>
      <c r="E193" s="182">
        <v>115</v>
      </c>
      <c r="F193" s="183">
        <v>20</v>
      </c>
      <c r="G193" s="191">
        <f t="shared" si="15"/>
        <v>475</v>
      </c>
      <c r="H193" s="188">
        <f t="shared" si="16"/>
        <v>0.40874355784609911</v>
      </c>
      <c r="I193" s="188">
        <f t="shared" si="17"/>
        <v>9.071117561683599E-2</v>
      </c>
      <c r="J193" s="182">
        <v>541</v>
      </c>
      <c r="K193" s="183">
        <v>334</v>
      </c>
      <c r="L193" s="191">
        <f t="shared" si="18"/>
        <v>61.97604790419161</v>
      </c>
      <c r="M193" s="188">
        <f t="shared" si="19"/>
        <v>0.25765708271220988</v>
      </c>
      <c r="N193" s="189">
        <f t="shared" si="20"/>
        <v>0.1632134480062549</v>
      </c>
    </row>
    <row r="194" spans="1:14" hidden="1" outlineLevel="1">
      <c r="A194" s="180"/>
      <c r="B194" s="190" t="s">
        <v>878</v>
      </c>
      <c r="C194" s="186">
        <f t="shared" si="14"/>
        <v>40.498442367601243</v>
      </c>
      <c r="E194" s="182">
        <v>49</v>
      </c>
      <c r="F194" s="183">
        <v>28</v>
      </c>
      <c r="G194" s="191">
        <f t="shared" si="15"/>
        <v>75</v>
      </c>
      <c r="H194" s="188">
        <f t="shared" si="16"/>
        <v>0.17416029856051182</v>
      </c>
      <c r="I194" s="188">
        <f t="shared" si="17"/>
        <v>0.1269956458635704</v>
      </c>
      <c r="J194" s="182">
        <v>451</v>
      </c>
      <c r="K194" s="183">
        <v>321</v>
      </c>
      <c r="L194" s="191">
        <f t="shared" si="18"/>
        <v>40.498442367601243</v>
      </c>
      <c r="M194" s="188">
        <f t="shared" si="19"/>
        <v>0.21479361239040046</v>
      </c>
      <c r="N194" s="189">
        <f t="shared" si="20"/>
        <v>0.15686082877247851</v>
      </c>
    </row>
    <row r="195" spans="1:14" hidden="1" outlineLevel="1">
      <c r="A195" s="180"/>
      <c r="B195" s="190" t="s">
        <v>876</v>
      </c>
      <c r="C195" s="186">
        <f t="shared" si="14"/>
        <v>-41.441441441441441</v>
      </c>
      <c r="E195" s="182">
        <v>13</v>
      </c>
      <c r="F195" s="183">
        <v>46</v>
      </c>
      <c r="G195" s="191">
        <f t="shared" si="15"/>
        <v>-71.739130434782609</v>
      </c>
      <c r="H195" s="188">
        <f t="shared" si="16"/>
        <v>4.6205793495645991E-2</v>
      </c>
      <c r="I195" s="188">
        <f t="shared" si="17"/>
        <v>0.20863570391872277</v>
      </c>
      <c r="J195" s="182">
        <v>325</v>
      </c>
      <c r="K195" s="183">
        <v>555</v>
      </c>
      <c r="L195" s="191">
        <f t="shared" si="18"/>
        <v>-41.441441441441441</v>
      </c>
      <c r="M195" s="188">
        <f t="shared" si="19"/>
        <v>0.15478475393986729</v>
      </c>
      <c r="N195" s="189">
        <f t="shared" si="20"/>
        <v>0.27120797498045351</v>
      </c>
    </row>
    <row r="196" spans="1:14" hidden="1" outlineLevel="1">
      <c r="A196" s="180"/>
      <c r="B196" s="190" t="s">
        <v>880</v>
      </c>
      <c r="C196" s="186">
        <f t="shared" si="14"/>
        <v>29.317269076305219</v>
      </c>
      <c r="E196" s="182">
        <v>49</v>
      </c>
      <c r="F196" s="183">
        <v>35</v>
      </c>
      <c r="G196" s="191">
        <f t="shared" si="15"/>
        <v>40</v>
      </c>
      <c r="H196" s="188">
        <f t="shared" si="16"/>
        <v>0.17416029856051182</v>
      </c>
      <c r="I196" s="188">
        <f t="shared" si="17"/>
        <v>0.15874455732946299</v>
      </c>
      <c r="J196" s="182">
        <v>322</v>
      </c>
      <c r="K196" s="183">
        <v>249</v>
      </c>
      <c r="L196" s="191">
        <f t="shared" si="18"/>
        <v>29.317269076305219</v>
      </c>
      <c r="M196" s="188">
        <f t="shared" si="19"/>
        <v>0.15335597159580699</v>
      </c>
      <c r="N196" s="189">
        <f t="shared" si="20"/>
        <v>0.12167709147771696</v>
      </c>
    </row>
    <row r="197" spans="1:14" hidden="1" outlineLevel="1">
      <c r="A197" s="180"/>
      <c r="B197" s="190" t="s">
        <v>879</v>
      </c>
      <c r="C197" s="186">
        <f t="shared" si="14"/>
        <v>-24.175824175824175</v>
      </c>
      <c r="E197" s="182">
        <v>19</v>
      </c>
      <c r="F197" s="183">
        <v>54</v>
      </c>
      <c r="G197" s="191">
        <f t="shared" si="15"/>
        <v>-64.81481481481481</v>
      </c>
      <c r="H197" s="188">
        <f t="shared" si="16"/>
        <v>6.7531544339790292E-2</v>
      </c>
      <c r="I197" s="188">
        <f t="shared" si="17"/>
        <v>0.24492017416545717</v>
      </c>
      <c r="J197" s="182">
        <v>207</v>
      </c>
      <c r="K197" s="183">
        <v>273</v>
      </c>
      <c r="L197" s="191">
        <f t="shared" si="18"/>
        <v>-24.175824175824175</v>
      </c>
      <c r="M197" s="188">
        <f t="shared" si="19"/>
        <v>9.8585981740161643E-2</v>
      </c>
      <c r="N197" s="189">
        <f t="shared" si="20"/>
        <v>0.13340500390930413</v>
      </c>
    </row>
    <row r="198" spans="1:14" hidden="1" outlineLevel="1">
      <c r="A198" s="180"/>
      <c r="B198" s="190" t="s">
        <v>881</v>
      </c>
      <c r="C198" s="186">
        <f t="shared" si="14"/>
        <v>-41.860465116279073</v>
      </c>
      <c r="E198" s="182">
        <v>18</v>
      </c>
      <c r="F198" s="183">
        <v>9</v>
      </c>
      <c r="G198" s="191">
        <f t="shared" si="15"/>
        <v>100</v>
      </c>
      <c r="H198" s="188">
        <f t="shared" si="16"/>
        <v>6.3977252532432916E-2</v>
      </c>
      <c r="I198" s="188">
        <f t="shared" si="17"/>
        <v>4.0820029027576199E-2</v>
      </c>
      <c r="J198" s="182">
        <v>100</v>
      </c>
      <c r="K198" s="183">
        <v>172</v>
      </c>
      <c r="L198" s="191">
        <f t="shared" si="18"/>
        <v>-41.860465116279073</v>
      </c>
      <c r="M198" s="188">
        <f t="shared" si="19"/>
        <v>4.7626078135343787E-2</v>
      </c>
      <c r="N198" s="189">
        <f t="shared" si="20"/>
        <v>8.4050039093041429E-2</v>
      </c>
    </row>
    <row r="199" spans="1:14" hidden="1" outlineLevel="1">
      <c r="A199" s="180"/>
      <c r="B199" s="190" t="s">
        <v>1246</v>
      </c>
      <c r="C199" s="186" t="str">
        <f t="shared" si="14"/>
        <v/>
      </c>
      <c r="E199" s="182">
        <v>14</v>
      </c>
      <c r="F199" s="183">
        <v>0</v>
      </c>
      <c r="G199" s="191" t="str">
        <f t="shared" si="15"/>
        <v/>
      </c>
      <c r="H199" s="188">
        <f t="shared" si="16"/>
        <v>4.9760085303003368E-2</v>
      </c>
      <c r="I199" s="188" t="str">
        <f t="shared" si="17"/>
        <v/>
      </c>
      <c r="J199" s="182">
        <v>100</v>
      </c>
      <c r="K199" s="183">
        <v>0</v>
      </c>
      <c r="L199" s="191" t="str">
        <f t="shared" si="18"/>
        <v/>
      </c>
      <c r="M199" s="188">
        <f t="shared" si="19"/>
        <v>4.7626078135343787E-2</v>
      </c>
      <c r="N199" s="189" t="str">
        <f t="shared" si="20"/>
        <v/>
      </c>
    </row>
    <row r="200" spans="1:14" hidden="1" outlineLevel="1">
      <c r="A200" s="180"/>
      <c r="B200" s="190" t="s">
        <v>1247</v>
      </c>
      <c r="C200" s="186" t="str">
        <f t="shared" si="14"/>
        <v/>
      </c>
      <c r="E200" s="182">
        <v>0</v>
      </c>
      <c r="F200" s="183">
        <v>0</v>
      </c>
      <c r="G200" s="191" t="str">
        <f t="shared" si="15"/>
        <v/>
      </c>
      <c r="H200" s="188" t="str">
        <f t="shared" si="16"/>
        <v/>
      </c>
      <c r="I200" s="188" t="str">
        <f t="shared" si="17"/>
        <v/>
      </c>
      <c r="J200" s="182">
        <v>1</v>
      </c>
      <c r="K200" s="183">
        <v>0</v>
      </c>
      <c r="L200" s="191" t="str">
        <f t="shared" si="18"/>
        <v/>
      </c>
      <c r="M200" s="188">
        <f t="shared" si="19"/>
        <v>4.7626078135343789E-4</v>
      </c>
      <c r="N200" s="189" t="str">
        <f t="shared" si="20"/>
        <v/>
      </c>
    </row>
    <row r="201" spans="1:14" collapsed="1">
      <c r="A201" s="180" t="s">
        <v>1290</v>
      </c>
      <c r="B201" s="179" t="s">
        <v>286</v>
      </c>
      <c r="C201" s="186">
        <f t="shared" si="14"/>
        <v>0.23118417672745953</v>
      </c>
      <c r="E201" s="182">
        <v>490</v>
      </c>
      <c r="F201" s="183">
        <v>224</v>
      </c>
      <c r="G201" s="191">
        <f t="shared" si="15"/>
        <v>118.75</v>
      </c>
      <c r="H201" s="188">
        <f t="shared" si="16"/>
        <v>1.7416029856051181</v>
      </c>
      <c r="I201" s="188">
        <f t="shared" si="17"/>
        <v>1.0159651669085632</v>
      </c>
      <c r="J201" s="182">
        <v>3902</v>
      </c>
      <c r="K201" s="183">
        <v>3893</v>
      </c>
      <c r="L201" s="191">
        <f t="shared" si="18"/>
        <v>0.23118417672745953</v>
      </c>
      <c r="M201" s="188">
        <f t="shared" si="19"/>
        <v>1.8583695688411144</v>
      </c>
      <c r="N201" s="189">
        <f t="shared" si="20"/>
        <v>1.9023651290070367</v>
      </c>
    </row>
    <row r="202" spans="1:14" hidden="1" outlineLevel="1">
      <c r="A202" s="180"/>
      <c r="B202" s="190" t="s">
        <v>867</v>
      </c>
      <c r="C202" s="186">
        <f t="shared" ref="C202:C265" si="21">IF(K202=0,"",SUM(((J202-K202)/K202)*100))</f>
        <v>50.064020486555691</v>
      </c>
      <c r="E202" s="182">
        <v>251</v>
      </c>
      <c r="F202" s="183">
        <v>14</v>
      </c>
      <c r="G202" s="191">
        <f t="shared" ref="G202:G265" si="22">IF(F202=0,"",SUM(((E202-F202)/F202)*100))</f>
        <v>1692.8571428571427</v>
      </c>
      <c r="H202" s="188">
        <f t="shared" ref="H202:H265" si="23">IF(E202=0,"",SUM((E202/CntPeriod)*100))</f>
        <v>0.89212724364670337</v>
      </c>
      <c r="I202" s="188">
        <f t="shared" ref="I202:I265" si="24">IF(F202=0,"",SUM((F202/CntPeriodPrevYear)*100))</f>
        <v>6.34978229317852E-2</v>
      </c>
      <c r="J202" s="182">
        <v>1172</v>
      </c>
      <c r="K202" s="183">
        <v>781</v>
      </c>
      <c r="L202" s="191">
        <f t="shared" ref="L202:L265" si="25">IF(K202=0,"",SUM(((J202-K202)/K202)*100))</f>
        <v>50.064020486555691</v>
      </c>
      <c r="M202" s="188">
        <f t="shared" ref="M202:M265" si="26">IF(J202=0,"",SUM((J202/CntYearAck)*100))</f>
        <v>0.55817763574622914</v>
      </c>
      <c r="N202" s="189">
        <f t="shared" ref="N202:N265" si="27">IF(K202=0,"",SUM((K202/CntPrevYearAck)*100))</f>
        <v>0.38164581704456607</v>
      </c>
    </row>
    <row r="203" spans="1:14" hidden="1" outlineLevel="1">
      <c r="A203" s="180"/>
      <c r="B203" s="190" t="s">
        <v>870</v>
      </c>
      <c r="C203" s="186">
        <f t="shared" si="21"/>
        <v>120.29288702928871</v>
      </c>
      <c r="E203" s="182">
        <v>58</v>
      </c>
      <c r="F203" s="183">
        <v>48</v>
      </c>
      <c r="G203" s="191">
        <f t="shared" si="22"/>
        <v>20.833333333333336</v>
      </c>
      <c r="H203" s="188">
        <f t="shared" si="23"/>
        <v>0.20614892482672828</v>
      </c>
      <c r="I203" s="188">
        <f t="shared" si="24"/>
        <v>0.21770682148040638</v>
      </c>
      <c r="J203" s="182">
        <v>1053</v>
      </c>
      <c r="K203" s="183">
        <v>478</v>
      </c>
      <c r="L203" s="191">
        <f t="shared" si="25"/>
        <v>120.29288702928871</v>
      </c>
      <c r="M203" s="188">
        <f t="shared" si="26"/>
        <v>0.50150260276517011</v>
      </c>
      <c r="N203" s="189">
        <f t="shared" si="27"/>
        <v>0.23358092259577798</v>
      </c>
    </row>
    <row r="204" spans="1:14" hidden="1" outlineLevel="1">
      <c r="A204" s="180"/>
      <c r="B204" s="190" t="s">
        <v>866</v>
      </c>
      <c r="C204" s="186">
        <f t="shared" si="21"/>
        <v>-22.362052274927397</v>
      </c>
      <c r="E204" s="182">
        <v>109</v>
      </c>
      <c r="F204" s="183">
        <v>69</v>
      </c>
      <c r="G204" s="191">
        <f t="shared" si="22"/>
        <v>57.971014492753625</v>
      </c>
      <c r="H204" s="188">
        <f t="shared" si="23"/>
        <v>0.38741780700195488</v>
      </c>
      <c r="I204" s="188">
        <f t="shared" si="24"/>
        <v>0.31295355587808416</v>
      </c>
      <c r="J204" s="182">
        <v>802</v>
      </c>
      <c r="K204" s="183">
        <v>1033</v>
      </c>
      <c r="L204" s="191">
        <f t="shared" si="25"/>
        <v>-22.362052274927397</v>
      </c>
      <c r="M204" s="188">
        <f t="shared" si="26"/>
        <v>0.38196114664545716</v>
      </c>
      <c r="N204" s="189">
        <f t="shared" si="27"/>
        <v>0.50478889757623147</v>
      </c>
    </row>
    <row r="205" spans="1:14" hidden="1" outlineLevel="1">
      <c r="A205" s="180"/>
      <c r="B205" s="190" t="s">
        <v>868</v>
      </c>
      <c r="C205" s="186">
        <f t="shared" si="21"/>
        <v>-63.391655450874829</v>
      </c>
      <c r="E205" s="182">
        <v>12</v>
      </c>
      <c r="F205" s="183">
        <v>34</v>
      </c>
      <c r="G205" s="191">
        <f t="shared" si="22"/>
        <v>-64.705882352941174</v>
      </c>
      <c r="H205" s="188">
        <f t="shared" si="23"/>
        <v>4.2651501688288608E-2</v>
      </c>
      <c r="I205" s="188">
        <f t="shared" si="24"/>
        <v>0.15420899854862119</v>
      </c>
      <c r="J205" s="182">
        <v>272</v>
      </c>
      <c r="K205" s="183">
        <v>743</v>
      </c>
      <c r="L205" s="191">
        <f t="shared" si="25"/>
        <v>-63.391655450874829</v>
      </c>
      <c r="M205" s="188">
        <f t="shared" si="26"/>
        <v>0.12954293252813509</v>
      </c>
      <c r="N205" s="189">
        <f t="shared" si="27"/>
        <v>0.36307662236121968</v>
      </c>
    </row>
    <row r="206" spans="1:14" hidden="1" outlineLevel="1">
      <c r="A206" s="180"/>
      <c r="B206" s="190" t="s">
        <v>873</v>
      </c>
      <c r="C206" s="186">
        <f t="shared" si="21"/>
        <v>67.441860465116278</v>
      </c>
      <c r="E206" s="182">
        <v>18</v>
      </c>
      <c r="F206" s="183">
        <v>18</v>
      </c>
      <c r="G206" s="191">
        <f t="shared" si="22"/>
        <v>0</v>
      </c>
      <c r="H206" s="188">
        <f t="shared" si="23"/>
        <v>6.3977252532432916E-2</v>
      </c>
      <c r="I206" s="188">
        <f t="shared" si="24"/>
        <v>8.1640058055152398E-2</v>
      </c>
      <c r="J206" s="182">
        <v>144</v>
      </c>
      <c r="K206" s="183">
        <v>86</v>
      </c>
      <c r="L206" s="191">
        <f t="shared" si="25"/>
        <v>67.441860465116278</v>
      </c>
      <c r="M206" s="188">
        <f t="shared" si="26"/>
        <v>6.8581552514895061E-2</v>
      </c>
      <c r="N206" s="189">
        <f t="shared" si="27"/>
        <v>4.2025019546520714E-2</v>
      </c>
    </row>
    <row r="207" spans="1:14" hidden="1" outlineLevel="1">
      <c r="A207" s="180"/>
      <c r="B207" s="190" t="s">
        <v>869</v>
      </c>
      <c r="C207" s="186">
        <f t="shared" si="21"/>
        <v>-74.757281553398059</v>
      </c>
      <c r="E207" s="182">
        <v>4</v>
      </c>
      <c r="F207" s="183">
        <v>15</v>
      </c>
      <c r="G207" s="191">
        <f t="shared" si="22"/>
        <v>-73.333333333333329</v>
      </c>
      <c r="H207" s="188">
        <f t="shared" si="23"/>
        <v>1.4217167229429537E-2</v>
      </c>
      <c r="I207" s="188">
        <f t="shared" si="24"/>
        <v>6.8033381712626989E-2</v>
      </c>
      <c r="J207" s="182">
        <v>130</v>
      </c>
      <c r="K207" s="183">
        <v>515</v>
      </c>
      <c r="L207" s="191">
        <f t="shared" si="25"/>
        <v>-74.757281553398059</v>
      </c>
      <c r="M207" s="188">
        <f t="shared" si="26"/>
        <v>6.1913901575946922E-2</v>
      </c>
      <c r="N207" s="189">
        <f t="shared" si="27"/>
        <v>0.25166145426114156</v>
      </c>
    </row>
    <row r="208" spans="1:14" hidden="1" outlineLevel="1">
      <c r="A208" s="180"/>
      <c r="B208" s="190" t="s">
        <v>1044</v>
      </c>
      <c r="C208" s="186" t="str">
        <f t="shared" si="21"/>
        <v/>
      </c>
      <c r="E208" s="182">
        <v>7</v>
      </c>
      <c r="F208" s="183">
        <v>0</v>
      </c>
      <c r="G208" s="191" t="str">
        <f t="shared" si="22"/>
        <v/>
      </c>
      <c r="H208" s="188">
        <f t="shared" si="23"/>
        <v>2.4880042651501684E-2</v>
      </c>
      <c r="I208" s="188" t="str">
        <f t="shared" si="24"/>
        <v/>
      </c>
      <c r="J208" s="182">
        <v>121</v>
      </c>
      <c r="K208" s="183">
        <v>0</v>
      </c>
      <c r="L208" s="191" t="str">
        <f t="shared" si="25"/>
        <v/>
      </c>
      <c r="M208" s="188">
        <f t="shared" si="26"/>
        <v>5.7627554543765988E-2</v>
      </c>
      <c r="N208" s="189" t="str">
        <f t="shared" si="27"/>
        <v/>
      </c>
    </row>
    <row r="209" spans="1:14" hidden="1" outlineLevel="1">
      <c r="A209" s="180"/>
      <c r="B209" s="190" t="s">
        <v>871</v>
      </c>
      <c r="C209" s="186">
        <f t="shared" si="21"/>
        <v>-12.820512820512819</v>
      </c>
      <c r="E209" s="182">
        <v>22</v>
      </c>
      <c r="F209" s="183">
        <v>17</v>
      </c>
      <c r="G209" s="191">
        <f t="shared" si="22"/>
        <v>29.411764705882355</v>
      </c>
      <c r="H209" s="188">
        <f t="shared" si="23"/>
        <v>7.8194419761862449E-2</v>
      </c>
      <c r="I209" s="188">
        <f t="shared" si="24"/>
        <v>7.7104499274310595E-2</v>
      </c>
      <c r="J209" s="182">
        <v>102</v>
      </c>
      <c r="K209" s="183">
        <v>117</v>
      </c>
      <c r="L209" s="191">
        <f t="shared" si="25"/>
        <v>-12.820512820512819</v>
      </c>
      <c r="M209" s="188">
        <f t="shared" si="26"/>
        <v>4.8578599698050666E-2</v>
      </c>
      <c r="N209" s="189">
        <f t="shared" si="27"/>
        <v>5.7173573103987491E-2</v>
      </c>
    </row>
    <row r="210" spans="1:14" hidden="1" outlineLevel="1">
      <c r="A210" s="180"/>
      <c r="B210" s="190" t="s">
        <v>1192</v>
      </c>
      <c r="C210" s="186" t="str">
        <f t="shared" si="21"/>
        <v/>
      </c>
      <c r="E210" s="182">
        <v>9</v>
      </c>
      <c r="F210" s="183">
        <v>0</v>
      </c>
      <c r="G210" s="191" t="str">
        <f t="shared" si="22"/>
        <v/>
      </c>
      <c r="H210" s="188">
        <f t="shared" si="23"/>
        <v>3.1988626266216458E-2</v>
      </c>
      <c r="I210" s="188" t="str">
        <f t="shared" si="24"/>
        <v/>
      </c>
      <c r="J210" s="182">
        <v>91</v>
      </c>
      <c r="K210" s="183">
        <v>0</v>
      </c>
      <c r="L210" s="191" t="str">
        <f t="shared" si="25"/>
        <v/>
      </c>
      <c r="M210" s="188">
        <f t="shared" si="26"/>
        <v>4.3339731103162846E-2</v>
      </c>
      <c r="N210" s="189" t="str">
        <f t="shared" si="27"/>
        <v/>
      </c>
    </row>
    <row r="211" spans="1:14" hidden="1" outlineLevel="1">
      <c r="A211" s="180"/>
      <c r="B211" s="190" t="s">
        <v>872</v>
      </c>
      <c r="C211" s="186">
        <f t="shared" si="21"/>
        <v>-87.272727272727266</v>
      </c>
      <c r="E211" s="182">
        <v>0</v>
      </c>
      <c r="F211" s="183">
        <v>3</v>
      </c>
      <c r="G211" s="191">
        <f t="shared" si="22"/>
        <v>-100</v>
      </c>
      <c r="H211" s="188" t="str">
        <f t="shared" si="23"/>
        <v/>
      </c>
      <c r="I211" s="188">
        <f t="shared" si="24"/>
        <v>1.3606676342525399E-2</v>
      </c>
      <c r="J211" s="182">
        <v>14</v>
      </c>
      <c r="K211" s="183">
        <v>110</v>
      </c>
      <c r="L211" s="191">
        <f t="shared" si="25"/>
        <v>-87.272727272727266</v>
      </c>
      <c r="M211" s="188">
        <f t="shared" si="26"/>
        <v>6.66765093894813E-3</v>
      </c>
      <c r="N211" s="189">
        <f t="shared" si="27"/>
        <v>5.375293197810789E-2</v>
      </c>
    </row>
    <row r="212" spans="1:14" hidden="1" outlineLevel="1">
      <c r="A212" s="180"/>
      <c r="B212" s="190" t="s">
        <v>1248</v>
      </c>
      <c r="C212" s="186" t="str">
        <f t="shared" si="21"/>
        <v/>
      </c>
      <c r="E212" s="182">
        <v>0</v>
      </c>
      <c r="F212" s="183">
        <v>0</v>
      </c>
      <c r="G212" s="191" t="str">
        <f t="shared" si="22"/>
        <v/>
      </c>
      <c r="H212" s="188" t="str">
        <f t="shared" si="23"/>
        <v/>
      </c>
      <c r="I212" s="188" t="str">
        <f t="shared" si="24"/>
        <v/>
      </c>
      <c r="J212" s="182">
        <v>1</v>
      </c>
      <c r="K212" s="183">
        <v>0</v>
      </c>
      <c r="L212" s="191" t="str">
        <f t="shared" si="25"/>
        <v/>
      </c>
      <c r="M212" s="188">
        <f t="shared" si="26"/>
        <v>4.7626078135343789E-4</v>
      </c>
      <c r="N212" s="189" t="str">
        <f t="shared" si="27"/>
        <v/>
      </c>
    </row>
    <row r="213" spans="1:14" hidden="1" outlineLevel="1">
      <c r="A213" s="180"/>
      <c r="B213" s="190" t="s">
        <v>1110</v>
      </c>
      <c r="C213" s="186">
        <f t="shared" si="21"/>
        <v>-100</v>
      </c>
      <c r="E213" s="182">
        <v>0</v>
      </c>
      <c r="F213" s="183">
        <v>6</v>
      </c>
      <c r="G213" s="191">
        <f t="shared" si="22"/>
        <v>-100</v>
      </c>
      <c r="H213" s="188" t="str">
        <f t="shared" si="23"/>
        <v/>
      </c>
      <c r="I213" s="188">
        <f t="shared" si="24"/>
        <v>2.7213352685050797E-2</v>
      </c>
      <c r="J213" s="182">
        <v>0</v>
      </c>
      <c r="K213" s="183">
        <v>30</v>
      </c>
      <c r="L213" s="191">
        <f t="shared" si="25"/>
        <v>-100</v>
      </c>
      <c r="M213" s="188" t="str">
        <f t="shared" si="26"/>
        <v/>
      </c>
      <c r="N213" s="189">
        <f t="shared" si="27"/>
        <v>1.4659890539483973E-2</v>
      </c>
    </row>
    <row r="214" spans="1:14" collapsed="1">
      <c r="A214" s="180" t="s">
        <v>1249</v>
      </c>
      <c r="B214" s="179" t="s">
        <v>282</v>
      </c>
      <c r="C214" s="186">
        <f t="shared" si="21"/>
        <v>-17.764516869405554</v>
      </c>
      <c r="E214" s="182">
        <v>562</v>
      </c>
      <c r="F214" s="183">
        <v>554</v>
      </c>
      <c r="G214" s="191">
        <f t="shared" si="22"/>
        <v>1.4440433212996391</v>
      </c>
      <c r="H214" s="188">
        <f t="shared" si="23"/>
        <v>1.9975119957348499</v>
      </c>
      <c r="I214" s="188">
        <f t="shared" si="24"/>
        <v>2.5126995645863568</v>
      </c>
      <c r="J214" s="182">
        <v>3583</v>
      </c>
      <c r="K214" s="183">
        <v>4357</v>
      </c>
      <c r="L214" s="191">
        <f t="shared" si="25"/>
        <v>-17.764516869405554</v>
      </c>
      <c r="M214" s="188">
        <f t="shared" si="26"/>
        <v>1.706442379589368</v>
      </c>
      <c r="N214" s="189">
        <f t="shared" si="27"/>
        <v>2.1291047693510556</v>
      </c>
    </row>
    <row r="215" spans="1:14" hidden="1" outlineLevel="1">
      <c r="A215" s="180"/>
      <c r="B215" s="190" t="s">
        <v>883</v>
      </c>
      <c r="C215" s="186">
        <f t="shared" si="21"/>
        <v>-5.1485148514851486</v>
      </c>
      <c r="E215" s="182">
        <v>232</v>
      </c>
      <c r="F215" s="183">
        <v>167</v>
      </c>
      <c r="G215" s="191">
        <f t="shared" si="22"/>
        <v>38.922155688622759</v>
      </c>
      <c r="H215" s="188">
        <f t="shared" si="23"/>
        <v>0.82459569930691312</v>
      </c>
      <c r="I215" s="188">
        <f t="shared" si="24"/>
        <v>0.75743831640058046</v>
      </c>
      <c r="J215" s="182">
        <v>1437</v>
      </c>
      <c r="K215" s="183">
        <v>1515</v>
      </c>
      <c r="L215" s="191">
        <f t="shared" si="25"/>
        <v>-5.1485148514851486</v>
      </c>
      <c r="M215" s="188">
        <f t="shared" si="26"/>
        <v>0.68438674280489031</v>
      </c>
      <c r="N215" s="189">
        <f t="shared" si="27"/>
        <v>0.7403244722439406</v>
      </c>
    </row>
    <row r="216" spans="1:14" hidden="1" outlineLevel="1">
      <c r="A216" s="180"/>
      <c r="B216" s="190" t="s">
        <v>882</v>
      </c>
      <c r="C216" s="186">
        <f t="shared" si="21"/>
        <v>-46.321746160064677</v>
      </c>
      <c r="E216" s="182">
        <v>209</v>
      </c>
      <c r="F216" s="183">
        <v>285</v>
      </c>
      <c r="G216" s="191">
        <f t="shared" si="22"/>
        <v>-26.666666666666668</v>
      </c>
      <c r="H216" s="188">
        <f t="shared" si="23"/>
        <v>0.7428469877376932</v>
      </c>
      <c r="I216" s="188">
        <f t="shared" si="24"/>
        <v>1.2926342525399128</v>
      </c>
      <c r="J216" s="182">
        <v>1328</v>
      </c>
      <c r="K216" s="183">
        <v>2474</v>
      </c>
      <c r="L216" s="191">
        <f t="shared" si="25"/>
        <v>-46.321746160064677</v>
      </c>
      <c r="M216" s="188">
        <f t="shared" si="26"/>
        <v>0.6324743176373655</v>
      </c>
      <c r="N216" s="189">
        <f t="shared" si="27"/>
        <v>1.208952306489445</v>
      </c>
    </row>
    <row r="217" spans="1:14" hidden="1" outlineLevel="1">
      <c r="A217" s="180"/>
      <c r="B217" s="190" t="s">
        <v>886</v>
      </c>
      <c r="C217" s="186">
        <f t="shared" si="21"/>
        <v>903.44827586206907</v>
      </c>
      <c r="E217" s="182">
        <v>60</v>
      </c>
      <c r="F217" s="183">
        <v>0</v>
      </c>
      <c r="G217" s="191" t="str">
        <f t="shared" si="22"/>
        <v/>
      </c>
      <c r="H217" s="188">
        <f t="shared" si="23"/>
        <v>0.21325750844144306</v>
      </c>
      <c r="I217" s="188" t="str">
        <f t="shared" si="24"/>
        <v/>
      </c>
      <c r="J217" s="182">
        <v>291</v>
      </c>
      <c r="K217" s="183">
        <v>29</v>
      </c>
      <c r="L217" s="191">
        <f t="shared" si="25"/>
        <v>903.44827586206907</v>
      </c>
      <c r="M217" s="188">
        <f t="shared" si="26"/>
        <v>0.13859188737385042</v>
      </c>
      <c r="N217" s="189">
        <f t="shared" si="27"/>
        <v>1.4171227521501172E-2</v>
      </c>
    </row>
    <row r="218" spans="1:14" hidden="1" outlineLevel="1">
      <c r="A218" s="180"/>
      <c r="B218" s="190" t="s">
        <v>1007</v>
      </c>
      <c r="C218" s="186">
        <f t="shared" si="21"/>
        <v>381.81818181818181</v>
      </c>
      <c r="E218" s="182">
        <v>40</v>
      </c>
      <c r="F218" s="183">
        <v>55</v>
      </c>
      <c r="G218" s="191">
        <f t="shared" si="22"/>
        <v>-27.27272727272727</v>
      </c>
      <c r="H218" s="188">
        <f t="shared" si="23"/>
        <v>0.14217167229429536</v>
      </c>
      <c r="I218" s="188">
        <f t="shared" si="24"/>
        <v>0.249455732946299</v>
      </c>
      <c r="J218" s="182">
        <v>265</v>
      </c>
      <c r="K218" s="183">
        <v>55</v>
      </c>
      <c r="L218" s="191">
        <f t="shared" si="25"/>
        <v>381.81818181818181</v>
      </c>
      <c r="M218" s="188">
        <f t="shared" si="26"/>
        <v>0.12620910705866104</v>
      </c>
      <c r="N218" s="189">
        <f t="shared" si="27"/>
        <v>2.6876465989053945E-2</v>
      </c>
    </row>
    <row r="219" spans="1:14" hidden="1" outlineLevel="1">
      <c r="A219" s="180"/>
      <c r="B219" s="190" t="s">
        <v>884</v>
      </c>
      <c r="C219" s="186">
        <f t="shared" si="21"/>
        <v>-29.629629629629626</v>
      </c>
      <c r="E219" s="182">
        <v>17</v>
      </c>
      <c r="F219" s="183">
        <v>32</v>
      </c>
      <c r="G219" s="191">
        <f t="shared" si="22"/>
        <v>-46.875</v>
      </c>
      <c r="H219" s="188">
        <f t="shared" si="23"/>
        <v>6.0422960725075525E-2</v>
      </c>
      <c r="I219" s="188">
        <f t="shared" si="24"/>
        <v>0.14513788098693758</v>
      </c>
      <c r="J219" s="182">
        <v>114</v>
      </c>
      <c r="K219" s="183">
        <v>162</v>
      </c>
      <c r="L219" s="191">
        <f t="shared" si="25"/>
        <v>-29.629629629629626</v>
      </c>
      <c r="M219" s="188">
        <f t="shared" si="26"/>
        <v>5.4293729074291919E-2</v>
      </c>
      <c r="N219" s="189">
        <f t="shared" si="27"/>
        <v>7.916340891321344E-2</v>
      </c>
    </row>
    <row r="220" spans="1:14" hidden="1" outlineLevel="1">
      <c r="A220" s="180"/>
      <c r="B220" s="190" t="s">
        <v>1112</v>
      </c>
      <c r="C220" s="186" t="str">
        <f t="shared" si="21"/>
        <v/>
      </c>
      <c r="E220" s="182">
        <v>2</v>
      </c>
      <c r="F220" s="183">
        <v>0</v>
      </c>
      <c r="G220" s="191" t="str">
        <f t="shared" si="22"/>
        <v/>
      </c>
      <c r="H220" s="188">
        <f t="shared" si="23"/>
        <v>7.1085836147147686E-3</v>
      </c>
      <c r="I220" s="188" t="str">
        <f t="shared" si="24"/>
        <v/>
      </c>
      <c r="J220" s="182">
        <v>59</v>
      </c>
      <c r="K220" s="183">
        <v>0</v>
      </c>
      <c r="L220" s="191" t="str">
        <f t="shared" si="25"/>
        <v/>
      </c>
      <c r="M220" s="188">
        <f t="shared" si="26"/>
        <v>2.8099386099852831E-2</v>
      </c>
      <c r="N220" s="189" t="str">
        <f t="shared" si="27"/>
        <v/>
      </c>
    </row>
    <row r="221" spans="1:14" hidden="1" outlineLevel="1">
      <c r="A221" s="180"/>
      <c r="B221" s="190" t="s">
        <v>885</v>
      </c>
      <c r="C221" s="186">
        <f t="shared" si="21"/>
        <v>-55.045871559633028</v>
      </c>
      <c r="E221" s="182">
        <v>2</v>
      </c>
      <c r="F221" s="183">
        <v>13</v>
      </c>
      <c r="G221" s="191">
        <f t="shared" si="22"/>
        <v>-84.615384615384613</v>
      </c>
      <c r="H221" s="188">
        <f t="shared" si="23"/>
        <v>7.1085836147147686E-3</v>
      </c>
      <c r="I221" s="188">
        <f t="shared" si="24"/>
        <v>5.8962264150943397E-2</v>
      </c>
      <c r="J221" s="182">
        <v>49</v>
      </c>
      <c r="K221" s="183">
        <v>109</v>
      </c>
      <c r="L221" s="191">
        <f t="shared" si="25"/>
        <v>-55.045871559633028</v>
      </c>
      <c r="M221" s="188">
        <f t="shared" si="26"/>
        <v>2.3336778286318458E-2</v>
      </c>
      <c r="N221" s="189">
        <f t="shared" si="27"/>
        <v>5.3264268960125094E-2</v>
      </c>
    </row>
    <row r="222" spans="1:14" hidden="1" outlineLevel="1">
      <c r="A222" s="180"/>
      <c r="B222" s="190" t="s">
        <v>887</v>
      </c>
      <c r="C222" s="186">
        <f t="shared" si="21"/>
        <v>233.33333333333334</v>
      </c>
      <c r="E222" s="182">
        <v>0</v>
      </c>
      <c r="F222" s="183">
        <v>2</v>
      </c>
      <c r="G222" s="191">
        <f t="shared" si="22"/>
        <v>-100</v>
      </c>
      <c r="H222" s="188" t="str">
        <f t="shared" si="23"/>
        <v/>
      </c>
      <c r="I222" s="188">
        <f t="shared" si="24"/>
        <v>9.071117561683599E-3</v>
      </c>
      <c r="J222" s="182">
        <v>40</v>
      </c>
      <c r="K222" s="183">
        <v>12</v>
      </c>
      <c r="L222" s="191">
        <f t="shared" si="25"/>
        <v>233.33333333333334</v>
      </c>
      <c r="M222" s="188">
        <f t="shared" si="26"/>
        <v>1.9050431254137516E-2</v>
      </c>
      <c r="N222" s="189">
        <f t="shared" si="27"/>
        <v>5.8639562157935888E-3</v>
      </c>
    </row>
    <row r="223" spans="1:14" hidden="1" outlineLevel="1">
      <c r="A223" s="180"/>
      <c r="B223" s="190" t="s">
        <v>1250</v>
      </c>
      <c r="C223" s="186">
        <f t="shared" si="21"/>
        <v>-100</v>
      </c>
      <c r="E223" s="182">
        <v>0</v>
      </c>
      <c r="F223" s="183">
        <v>0</v>
      </c>
      <c r="G223" s="191" t="str">
        <f t="shared" si="22"/>
        <v/>
      </c>
      <c r="H223" s="188" t="str">
        <f t="shared" si="23"/>
        <v/>
      </c>
      <c r="I223" s="188" t="str">
        <f t="shared" si="24"/>
        <v/>
      </c>
      <c r="J223" s="182">
        <v>0</v>
      </c>
      <c r="K223" s="183">
        <v>1</v>
      </c>
      <c r="L223" s="191">
        <f t="shared" si="25"/>
        <v>-100</v>
      </c>
      <c r="M223" s="188" t="str">
        <f t="shared" si="26"/>
        <v/>
      </c>
      <c r="N223" s="189">
        <f t="shared" si="27"/>
        <v>4.8866301798279903E-4</v>
      </c>
    </row>
    <row r="224" spans="1:14" collapsed="1">
      <c r="A224" s="180" t="s">
        <v>1251</v>
      </c>
      <c r="B224" s="179" t="s">
        <v>263</v>
      </c>
      <c r="C224" s="186">
        <f t="shared" si="21"/>
        <v>0.94915254237288127</v>
      </c>
      <c r="E224" s="182">
        <v>272</v>
      </c>
      <c r="F224" s="183">
        <v>302</v>
      </c>
      <c r="G224" s="191">
        <f t="shared" si="22"/>
        <v>-9.9337748344370862</v>
      </c>
      <c r="H224" s="188">
        <f t="shared" si="23"/>
        <v>0.9667673716012084</v>
      </c>
      <c r="I224" s="188">
        <f t="shared" si="24"/>
        <v>1.3697387518142237</v>
      </c>
      <c r="J224" s="182">
        <v>2978</v>
      </c>
      <c r="K224" s="183">
        <v>2950</v>
      </c>
      <c r="L224" s="191">
        <f t="shared" si="25"/>
        <v>0.94915254237288127</v>
      </c>
      <c r="M224" s="188">
        <f t="shared" si="26"/>
        <v>1.4183046068705381</v>
      </c>
      <c r="N224" s="189">
        <f t="shared" si="27"/>
        <v>1.4415559030492571</v>
      </c>
    </row>
    <row r="225" spans="1:14" hidden="1" outlineLevel="1">
      <c r="A225" s="180"/>
      <c r="B225" s="190" t="s">
        <v>895</v>
      </c>
      <c r="C225" s="186">
        <f t="shared" si="21"/>
        <v>29.275092936802977</v>
      </c>
      <c r="E225" s="182">
        <v>112</v>
      </c>
      <c r="F225" s="183">
        <v>233</v>
      </c>
      <c r="G225" s="191">
        <f t="shared" si="22"/>
        <v>-51.931330472102999</v>
      </c>
      <c r="H225" s="188">
        <f t="shared" si="23"/>
        <v>0.39808068242402694</v>
      </c>
      <c r="I225" s="188">
        <f t="shared" si="24"/>
        <v>1.0567851959361394</v>
      </c>
      <c r="J225" s="182">
        <v>1391</v>
      </c>
      <c r="K225" s="183">
        <v>1076</v>
      </c>
      <c r="L225" s="191">
        <f t="shared" si="25"/>
        <v>29.275092936802977</v>
      </c>
      <c r="M225" s="188">
        <f t="shared" si="26"/>
        <v>0.66247874686263208</v>
      </c>
      <c r="N225" s="189">
        <f t="shared" si="27"/>
        <v>0.52580140734949177</v>
      </c>
    </row>
    <row r="226" spans="1:14" hidden="1" outlineLevel="1">
      <c r="A226" s="180"/>
      <c r="B226" s="190" t="s">
        <v>897</v>
      </c>
      <c r="C226" s="186">
        <f t="shared" si="21"/>
        <v>147.44318181818181</v>
      </c>
      <c r="E226" s="182">
        <v>83</v>
      </c>
      <c r="F226" s="183">
        <v>18</v>
      </c>
      <c r="G226" s="191">
        <f t="shared" si="22"/>
        <v>361.11111111111114</v>
      </c>
      <c r="H226" s="188">
        <f t="shared" si="23"/>
        <v>0.29500622001066285</v>
      </c>
      <c r="I226" s="188">
        <f t="shared" si="24"/>
        <v>8.1640058055152398E-2</v>
      </c>
      <c r="J226" s="182">
        <v>871</v>
      </c>
      <c r="K226" s="183">
        <v>352</v>
      </c>
      <c r="L226" s="191">
        <f t="shared" si="25"/>
        <v>147.44318181818181</v>
      </c>
      <c r="M226" s="188">
        <f t="shared" si="26"/>
        <v>0.41482314055884445</v>
      </c>
      <c r="N226" s="189">
        <f t="shared" si="27"/>
        <v>0.17200938232994528</v>
      </c>
    </row>
    <row r="227" spans="1:14" hidden="1" outlineLevel="1">
      <c r="A227" s="180"/>
      <c r="B227" s="190" t="s">
        <v>896</v>
      </c>
      <c r="C227" s="186">
        <f t="shared" si="21"/>
        <v>-36.734693877551024</v>
      </c>
      <c r="E227" s="182">
        <v>56</v>
      </c>
      <c r="F227" s="183">
        <v>14</v>
      </c>
      <c r="G227" s="191">
        <f t="shared" si="22"/>
        <v>300</v>
      </c>
      <c r="H227" s="188">
        <f t="shared" si="23"/>
        <v>0.19904034121201347</v>
      </c>
      <c r="I227" s="188">
        <f t="shared" si="24"/>
        <v>6.34978229317852E-2</v>
      </c>
      <c r="J227" s="182">
        <v>527</v>
      </c>
      <c r="K227" s="183">
        <v>833</v>
      </c>
      <c r="L227" s="191">
        <f t="shared" si="25"/>
        <v>-36.734693877551024</v>
      </c>
      <c r="M227" s="188">
        <f t="shared" si="26"/>
        <v>0.25098943177326177</v>
      </c>
      <c r="N227" s="189">
        <f t="shared" si="27"/>
        <v>0.40705629397967158</v>
      </c>
    </row>
    <row r="228" spans="1:14" hidden="1" outlineLevel="1">
      <c r="A228" s="180"/>
      <c r="B228" s="190" t="s">
        <v>899</v>
      </c>
      <c r="C228" s="186">
        <f t="shared" si="21"/>
        <v>-19.642857142857142</v>
      </c>
      <c r="E228" s="182">
        <v>12</v>
      </c>
      <c r="F228" s="183">
        <v>12</v>
      </c>
      <c r="G228" s="191">
        <f t="shared" si="22"/>
        <v>0</v>
      </c>
      <c r="H228" s="188">
        <f t="shared" si="23"/>
        <v>4.2651501688288608E-2</v>
      </c>
      <c r="I228" s="188">
        <f t="shared" si="24"/>
        <v>5.4426705370101594E-2</v>
      </c>
      <c r="J228" s="182">
        <v>90</v>
      </c>
      <c r="K228" s="183">
        <v>112</v>
      </c>
      <c r="L228" s="191">
        <f t="shared" si="25"/>
        <v>-19.642857142857142</v>
      </c>
      <c r="M228" s="188">
        <f t="shared" si="26"/>
        <v>4.2863470321809413E-2</v>
      </c>
      <c r="N228" s="189">
        <f t="shared" si="27"/>
        <v>5.4730258014073496E-2</v>
      </c>
    </row>
    <row r="229" spans="1:14" hidden="1" outlineLevel="1">
      <c r="A229" s="180"/>
      <c r="B229" s="190" t="s">
        <v>903</v>
      </c>
      <c r="C229" s="186">
        <f t="shared" si="21"/>
        <v>-22.413793103448278</v>
      </c>
      <c r="E229" s="182">
        <v>5</v>
      </c>
      <c r="F229" s="183">
        <v>6</v>
      </c>
      <c r="G229" s="191">
        <f t="shared" si="22"/>
        <v>-16.666666666666664</v>
      </c>
      <c r="H229" s="188">
        <f t="shared" si="23"/>
        <v>1.7771459036786921E-2</v>
      </c>
      <c r="I229" s="188">
        <f t="shared" si="24"/>
        <v>2.7213352685050797E-2</v>
      </c>
      <c r="J229" s="182">
        <v>45</v>
      </c>
      <c r="K229" s="183">
        <v>58</v>
      </c>
      <c r="L229" s="191">
        <f t="shared" si="25"/>
        <v>-22.413793103448278</v>
      </c>
      <c r="M229" s="188">
        <f t="shared" si="26"/>
        <v>2.1431735160904707E-2</v>
      </c>
      <c r="N229" s="189">
        <f t="shared" si="27"/>
        <v>2.8342455043002344E-2</v>
      </c>
    </row>
    <row r="230" spans="1:14" hidden="1" outlineLevel="1">
      <c r="A230" s="180"/>
      <c r="B230" s="190" t="s">
        <v>900</v>
      </c>
      <c r="C230" s="186">
        <f t="shared" si="21"/>
        <v>-68.141592920353972</v>
      </c>
      <c r="E230" s="182">
        <v>1</v>
      </c>
      <c r="F230" s="183">
        <v>4</v>
      </c>
      <c r="G230" s="191">
        <f t="shared" si="22"/>
        <v>-75</v>
      </c>
      <c r="H230" s="188">
        <f t="shared" si="23"/>
        <v>3.5542918073573843E-3</v>
      </c>
      <c r="I230" s="188">
        <f t="shared" si="24"/>
        <v>1.8142235123367198E-2</v>
      </c>
      <c r="J230" s="182">
        <v>36</v>
      </c>
      <c r="K230" s="183">
        <v>113</v>
      </c>
      <c r="L230" s="191">
        <f t="shared" si="25"/>
        <v>-68.141592920353972</v>
      </c>
      <c r="M230" s="188">
        <f t="shared" si="26"/>
        <v>1.7145388128723765E-2</v>
      </c>
      <c r="N230" s="189">
        <f t="shared" si="27"/>
        <v>5.5218921032056299E-2</v>
      </c>
    </row>
    <row r="231" spans="1:14" hidden="1" outlineLevel="1">
      <c r="A231" s="180"/>
      <c r="B231" s="190" t="s">
        <v>1113</v>
      </c>
      <c r="C231" s="186" t="str">
        <f t="shared" si="21"/>
        <v/>
      </c>
      <c r="E231" s="182">
        <v>3</v>
      </c>
      <c r="F231" s="183">
        <v>0</v>
      </c>
      <c r="G231" s="191" t="str">
        <f t="shared" si="22"/>
        <v/>
      </c>
      <c r="H231" s="188">
        <f t="shared" si="23"/>
        <v>1.0662875422072152E-2</v>
      </c>
      <c r="I231" s="188" t="str">
        <f t="shared" si="24"/>
        <v/>
      </c>
      <c r="J231" s="182">
        <v>18</v>
      </c>
      <c r="K231" s="183">
        <v>0</v>
      </c>
      <c r="L231" s="191" t="str">
        <f t="shared" si="25"/>
        <v/>
      </c>
      <c r="M231" s="188">
        <f t="shared" si="26"/>
        <v>8.5726940643618826E-3</v>
      </c>
      <c r="N231" s="189" t="str">
        <f t="shared" si="27"/>
        <v/>
      </c>
    </row>
    <row r="232" spans="1:14" hidden="1" outlineLevel="1">
      <c r="A232" s="180"/>
      <c r="B232" s="190" t="s">
        <v>898</v>
      </c>
      <c r="C232" s="186">
        <f t="shared" si="21"/>
        <v>-100</v>
      </c>
      <c r="E232" s="182">
        <v>0</v>
      </c>
      <c r="F232" s="183">
        <v>15</v>
      </c>
      <c r="G232" s="191">
        <f t="shared" si="22"/>
        <v>-100</v>
      </c>
      <c r="H232" s="188" t="str">
        <f t="shared" si="23"/>
        <v/>
      </c>
      <c r="I232" s="188">
        <f t="shared" si="24"/>
        <v>6.8033381712626989E-2</v>
      </c>
      <c r="J232" s="182">
        <v>0</v>
      </c>
      <c r="K232" s="183">
        <v>298</v>
      </c>
      <c r="L232" s="191">
        <f t="shared" si="25"/>
        <v>-100</v>
      </c>
      <c r="M232" s="188" t="str">
        <f t="shared" si="26"/>
        <v/>
      </c>
      <c r="N232" s="189">
        <f t="shared" si="27"/>
        <v>0.14562157935887413</v>
      </c>
    </row>
    <row r="233" spans="1:14" hidden="1" outlineLevel="1">
      <c r="A233" s="180"/>
      <c r="B233" s="190" t="s">
        <v>901</v>
      </c>
      <c r="C233" s="186">
        <f t="shared" si="21"/>
        <v>-100</v>
      </c>
      <c r="E233" s="182">
        <v>0</v>
      </c>
      <c r="F233" s="183">
        <v>0</v>
      </c>
      <c r="G233" s="191" t="str">
        <f t="shared" si="22"/>
        <v/>
      </c>
      <c r="H233" s="188" t="str">
        <f t="shared" si="23"/>
        <v/>
      </c>
      <c r="I233" s="188" t="str">
        <f t="shared" si="24"/>
        <v/>
      </c>
      <c r="J233" s="182">
        <v>0</v>
      </c>
      <c r="K233" s="183">
        <v>48</v>
      </c>
      <c r="L233" s="191">
        <f t="shared" si="25"/>
        <v>-100</v>
      </c>
      <c r="M233" s="188" t="str">
        <f t="shared" si="26"/>
        <v/>
      </c>
      <c r="N233" s="189">
        <f t="shared" si="27"/>
        <v>2.3455824863174355E-2</v>
      </c>
    </row>
    <row r="234" spans="1:14" hidden="1" outlineLevel="1">
      <c r="A234" s="180"/>
      <c r="B234" s="190" t="s">
        <v>1144</v>
      </c>
      <c r="C234" s="186">
        <f t="shared" si="21"/>
        <v>-100</v>
      </c>
      <c r="E234" s="182">
        <v>0</v>
      </c>
      <c r="F234" s="183">
        <v>0</v>
      </c>
      <c r="G234" s="191" t="str">
        <f t="shared" si="22"/>
        <v/>
      </c>
      <c r="H234" s="188" t="str">
        <f t="shared" si="23"/>
        <v/>
      </c>
      <c r="I234" s="188" t="str">
        <f t="shared" si="24"/>
        <v/>
      </c>
      <c r="J234" s="182">
        <v>0</v>
      </c>
      <c r="K234" s="183">
        <v>38</v>
      </c>
      <c r="L234" s="191">
        <f t="shared" si="25"/>
        <v>-100</v>
      </c>
      <c r="M234" s="188" t="str">
        <f t="shared" si="26"/>
        <v/>
      </c>
      <c r="N234" s="189">
        <f t="shared" si="27"/>
        <v>1.8569194683346363E-2</v>
      </c>
    </row>
    <row r="235" spans="1:14" hidden="1" outlineLevel="1">
      <c r="A235" s="180"/>
      <c r="B235" s="190" t="s">
        <v>902</v>
      </c>
      <c r="C235" s="186">
        <f t="shared" si="21"/>
        <v>-100</v>
      </c>
      <c r="E235" s="182">
        <v>0</v>
      </c>
      <c r="F235" s="183">
        <v>0</v>
      </c>
      <c r="G235" s="191" t="str">
        <f t="shared" si="22"/>
        <v/>
      </c>
      <c r="H235" s="188" t="str">
        <f t="shared" si="23"/>
        <v/>
      </c>
      <c r="I235" s="188" t="str">
        <f t="shared" si="24"/>
        <v/>
      </c>
      <c r="J235" s="182">
        <v>0</v>
      </c>
      <c r="K235" s="183">
        <v>22</v>
      </c>
      <c r="L235" s="191">
        <f t="shared" si="25"/>
        <v>-100</v>
      </c>
      <c r="M235" s="188" t="str">
        <f t="shared" si="26"/>
        <v/>
      </c>
      <c r="N235" s="189">
        <f t="shared" si="27"/>
        <v>1.075058639562158E-2</v>
      </c>
    </row>
    <row r="236" spans="1:14" collapsed="1">
      <c r="A236" s="180" t="s">
        <v>1252</v>
      </c>
      <c r="B236" s="179" t="s">
        <v>322</v>
      </c>
      <c r="C236" s="186">
        <f t="shared" si="21"/>
        <v>-3.5143769968051117</v>
      </c>
      <c r="E236" s="182">
        <v>304</v>
      </c>
      <c r="F236" s="183">
        <v>274</v>
      </c>
      <c r="G236" s="191">
        <f t="shared" si="22"/>
        <v>10.948905109489052</v>
      </c>
      <c r="H236" s="188">
        <f t="shared" si="23"/>
        <v>1.0805047094366447</v>
      </c>
      <c r="I236" s="188">
        <f t="shared" si="24"/>
        <v>1.2427431059506531</v>
      </c>
      <c r="J236" s="182">
        <v>2718</v>
      </c>
      <c r="K236" s="183">
        <v>2817</v>
      </c>
      <c r="L236" s="191">
        <f t="shared" si="25"/>
        <v>-3.5143769968051117</v>
      </c>
      <c r="M236" s="188">
        <f t="shared" si="26"/>
        <v>1.2944768037186443</v>
      </c>
      <c r="N236" s="189">
        <f t="shared" si="27"/>
        <v>1.3765637216575448</v>
      </c>
    </row>
    <row r="237" spans="1:14" hidden="1" outlineLevel="1">
      <c r="A237" s="180"/>
      <c r="B237" s="190">
        <v>2</v>
      </c>
      <c r="C237" s="186">
        <f t="shared" si="21"/>
        <v>-3.2395870416518333</v>
      </c>
      <c r="E237" s="182">
        <v>304</v>
      </c>
      <c r="F237" s="183">
        <v>274</v>
      </c>
      <c r="G237" s="191">
        <f t="shared" si="22"/>
        <v>10.948905109489052</v>
      </c>
      <c r="H237" s="188">
        <f t="shared" si="23"/>
        <v>1.0805047094366447</v>
      </c>
      <c r="I237" s="188">
        <f t="shared" si="24"/>
        <v>1.2427431059506531</v>
      </c>
      <c r="J237" s="182">
        <v>2718</v>
      </c>
      <c r="K237" s="183">
        <v>2809</v>
      </c>
      <c r="L237" s="191">
        <f t="shared" si="25"/>
        <v>-3.2395870416518333</v>
      </c>
      <c r="M237" s="188">
        <f t="shared" si="26"/>
        <v>1.2944768037186443</v>
      </c>
      <c r="N237" s="189">
        <f t="shared" si="27"/>
        <v>1.3726544175136826</v>
      </c>
    </row>
    <row r="238" spans="1:14" hidden="1" outlineLevel="1">
      <c r="A238" s="180"/>
      <c r="B238" s="190">
        <v>1</v>
      </c>
      <c r="C238" s="186">
        <f t="shared" si="21"/>
        <v>-100</v>
      </c>
      <c r="E238" s="182">
        <v>0</v>
      </c>
      <c r="F238" s="183">
        <v>0</v>
      </c>
      <c r="G238" s="191" t="str">
        <f t="shared" si="22"/>
        <v/>
      </c>
      <c r="H238" s="188" t="str">
        <f t="shared" si="23"/>
        <v/>
      </c>
      <c r="I238" s="188" t="str">
        <f t="shared" si="24"/>
        <v/>
      </c>
      <c r="J238" s="182">
        <v>0</v>
      </c>
      <c r="K238" s="183">
        <v>8</v>
      </c>
      <c r="L238" s="191">
        <f t="shared" si="25"/>
        <v>-100</v>
      </c>
      <c r="M238" s="188" t="str">
        <f t="shared" si="26"/>
        <v/>
      </c>
      <c r="N238" s="189">
        <f t="shared" si="27"/>
        <v>3.9093041438623922E-3</v>
      </c>
    </row>
    <row r="239" spans="1:14" collapsed="1">
      <c r="A239" s="180" t="s">
        <v>1291</v>
      </c>
      <c r="B239" s="179" t="s">
        <v>1071</v>
      </c>
      <c r="C239" s="186" t="str">
        <f t="shared" si="21"/>
        <v/>
      </c>
      <c r="E239" s="182">
        <v>552</v>
      </c>
      <c r="F239" s="183">
        <v>0</v>
      </c>
      <c r="G239" s="191" t="str">
        <f t="shared" si="22"/>
        <v/>
      </c>
      <c r="H239" s="188">
        <f t="shared" si="23"/>
        <v>1.9619690776612759</v>
      </c>
      <c r="I239" s="188" t="str">
        <f t="shared" si="24"/>
        <v/>
      </c>
      <c r="J239" s="182">
        <v>2491</v>
      </c>
      <c r="K239" s="183">
        <v>0</v>
      </c>
      <c r="L239" s="191" t="str">
        <f t="shared" si="25"/>
        <v/>
      </c>
      <c r="M239" s="188">
        <f t="shared" si="26"/>
        <v>1.1863656063514139</v>
      </c>
      <c r="N239" s="189" t="str">
        <f t="shared" si="27"/>
        <v/>
      </c>
    </row>
    <row r="240" spans="1:14" hidden="1" outlineLevel="1">
      <c r="A240" s="180"/>
      <c r="B240" s="190" t="s">
        <v>1072</v>
      </c>
      <c r="C240" s="186" t="str">
        <f t="shared" si="21"/>
        <v/>
      </c>
      <c r="E240" s="182">
        <v>228</v>
      </c>
      <c r="F240" s="183">
        <v>0</v>
      </c>
      <c r="G240" s="191" t="str">
        <f t="shared" si="22"/>
        <v/>
      </c>
      <c r="H240" s="188">
        <f t="shared" si="23"/>
        <v>0.81037853207748356</v>
      </c>
      <c r="I240" s="188" t="str">
        <f t="shared" si="24"/>
        <v/>
      </c>
      <c r="J240" s="182">
        <v>1116</v>
      </c>
      <c r="K240" s="183">
        <v>0</v>
      </c>
      <c r="L240" s="191" t="str">
        <f t="shared" si="25"/>
        <v/>
      </c>
      <c r="M240" s="188">
        <f t="shared" si="26"/>
        <v>0.5315070319904367</v>
      </c>
      <c r="N240" s="189" t="str">
        <f t="shared" si="27"/>
        <v/>
      </c>
    </row>
    <row r="241" spans="1:14" hidden="1" outlineLevel="1">
      <c r="A241" s="180"/>
      <c r="B241" s="190" t="s">
        <v>1073</v>
      </c>
      <c r="C241" s="186" t="str">
        <f t="shared" si="21"/>
        <v/>
      </c>
      <c r="E241" s="182">
        <v>182</v>
      </c>
      <c r="F241" s="183">
        <v>0</v>
      </c>
      <c r="G241" s="191" t="str">
        <f t="shared" si="22"/>
        <v/>
      </c>
      <c r="H241" s="188">
        <f t="shared" si="23"/>
        <v>0.64688110893904394</v>
      </c>
      <c r="I241" s="188" t="str">
        <f t="shared" si="24"/>
        <v/>
      </c>
      <c r="J241" s="182">
        <v>755</v>
      </c>
      <c r="K241" s="183">
        <v>0</v>
      </c>
      <c r="L241" s="191" t="str">
        <f t="shared" si="25"/>
        <v/>
      </c>
      <c r="M241" s="188">
        <f t="shared" si="26"/>
        <v>0.35957688992184561</v>
      </c>
      <c r="N241" s="189" t="str">
        <f t="shared" si="27"/>
        <v/>
      </c>
    </row>
    <row r="242" spans="1:14" hidden="1" outlineLevel="1">
      <c r="A242" s="180"/>
      <c r="B242" s="190" t="s">
        <v>890</v>
      </c>
      <c r="C242" s="186" t="str">
        <f t="shared" si="21"/>
        <v/>
      </c>
      <c r="E242" s="182">
        <v>120</v>
      </c>
      <c r="F242" s="183">
        <v>0</v>
      </c>
      <c r="G242" s="191" t="str">
        <f t="shared" si="22"/>
        <v/>
      </c>
      <c r="H242" s="188">
        <f t="shared" si="23"/>
        <v>0.42651501688288612</v>
      </c>
      <c r="I242" s="188" t="str">
        <f t="shared" si="24"/>
        <v/>
      </c>
      <c r="J242" s="182">
        <v>561</v>
      </c>
      <c r="K242" s="183">
        <v>0</v>
      </c>
      <c r="L242" s="191" t="str">
        <f t="shared" si="25"/>
        <v/>
      </c>
      <c r="M242" s="188">
        <f t="shared" si="26"/>
        <v>0.26718229833927865</v>
      </c>
      <c r="N242" s="189" t="str">
        <f t="shared" si="27"/>
        <v/>
      </c>
    </row>
    <row r="243" spans="1:14" hidden="1" outlineLevel="1">
      <c r="A243" s="180"/>
      <c r="B243" s="190" t="s">
        <v>893</v>
      </c>
      <c r="C243" s="186" t="str">
        <f t="shared" si="21"/>
        <v/>
      </c>
      <c r="E243" s="182">
        <v>22</v>
      </c>
      <c r="F243" s="183">
        <v>0</v>
      </c>
      <c r="G243" s="191" t="str">
        <f t="shared" si="22"/>
        <v/>
      </c>
      <c r="H243" s="188">
        <f t="shared" si="23"/>
        <v>7.8194419761862449E-2</v>
      </c>
      <c r="I243" s="188" t="str">
        <f t="shared" si="24"/>
        <v/>
      </c>
      <c r="J243" s="182">
        <v>59</v>
      </c>
      <c r="K243" s="183">
        <v>0</v>
      </c>
      <c r="L243" s="191" t="str">
        <f t="shared" si="25"/>
        <v/>
      </c>
      <c r="M243" s="188">
        <f t="shared" si="26"/>
        <v>2.8099386099852831E-2</v>
      </c>
      <c r="N243" s="189" t="str">
        <f t="shared" si="27"/>
        <v/>
      </c>
    </row>
    <row r="244" spans="1:14" collapsed="1">
      <c r="A244" s="180" t="s">
        <v>1292</v>
      </c>
      <c r="B244" s="179" t="s">
        <v>277</v>
      </c>
      <c r="C244" s="186">
        <f t="shared" si="21"/>
        <v>50.574712643678168</v>
      </c>
      <c r="E244" s="182">
        <v>237</v>
      </c>
      <c r="F244" s="183">
        <v>510</v>
      </c>
      <c r="G244" s="191">
        <f t="shared" si="22"/>
        <v>-53.529411764705884</v>
      </c>
      <c r="H244" s="188">
        <f t="shared" si="23"/>
        <v>0.84236715834370002</v>
      </c>
      <c r="I244" s="188">
        <f t="shared" si="24"/>
        <v>2.3131349782293178</v>
      </c>
      <c r="J244" s="182">
        <v>2489</v>
      </c>
      <c r="K244" s="183">
        <v>1653</v>
      </c>
      <c r="L244" s="191">
        <f t="shared" si="25"/>
        <v>50.574712643678168</v>
      </c>
      <c r="M244" s="188">
        <f t="shared" si="26"/>
        <v>1.1854130847887068</v>
      </c>
      <c r="N244" s="189">
        <f t="shared" si="27"/>
        <v>0.80775996872556688</v>
      </c>
    </row>
    <row r="245" spans="1:14" hidden="1" outlineLevel="1">
      <c r="A245" s="180"/>
      <c r="B245" s="190" t="s">
        <v>986</v>
      </c>
      <c r="C245" s="186">
        <f t="shared" si="21"/>
        <v>241.55844155844159</v>
      </c>
      <c r="E245" s="182">
        <v>133</v>
      </c>
      <c r="F245" s="183">
        <v>205</v>
      </c>
      <c r="G245" s="191">
        <f t="shared" si="22"/>
        <v>-35.121951219512191</v>
      </c>
      <c r="H245" s="188">
        <f t="shared" si="23"/>
        <v>0.47272081037853209</v>
      </c>
      <c r="I245" s="188">
        <f t="shared" si="24"/>
        <v>0.92978955007256892</v>
      </c>
      <c r="J245" s="182">
        <v>1052</v>
      </c>
      <c r="K245" s="183">
        <v>308</v>
      </c>
      <c r="L245" s="191">
        <f t="shared" si="25"/>
        <v>241.55844155844159</v>
      </c>
      <c r="M245" s="188">
        <f t="shared" si="26"/>
        <v>0.50102634198381668</v>
      </c>
      <c r="N245" s="189">
        <f t="shared" si="27"/>
        <v>0.15050820953870211</v>
      </c>
    </row>
    <row r="246" spans="1:14" hidden="1" outlineLevel="1">
      <c r="A246" s="180"/>
      <c r="B246" s="190" t="s">
        <v>936</v>
      </c>
      <c r="C246" s="186">
        <f t="shared" si="21"/>
        <v>-11.206896551724139</v>
      </c>
      <c r="E246" s="182">
        <v>42</v>
      </c>
      <c r="F246" s="183">
        <v>74</v>
      </c>
      <c r="G246" s="191">
        <f t="shared" si="22"/>
        <v>-43.243243243243242</v>
      </c>
      <c r="H246" s="188">
        <f t="shared" si="23"/>
        <v>0.14928025590901015</v>
      </c>
      <c r="I246" s="188">
        <f t="shared" si="24"/>
        <v>0.3356313497822932</v>
      </c>
      <c r="J246" s="182">
        <v>412</v>
      </c>
      <c r="K246" s="183">
        <v>464</v>
      </c>
      <c r="L246" s="191">
        <f t="shared" si="25"/>
        <v>-11.206896551724139</v>
      </c>
      <c r="M246" s="188">
        <f t="shared" si="26"/>
        <v>0.19621944191761642</v>
      </c>
      <c r="N246" s="189">
        <f t="shared" si="27"/>
        <v>0.22673964034401875</v>
      </c>
    </row>
    <row r="247" spans="1:14" hidden="1" outlineLevel="1">
      <c r="A247" s="180"/>
      <c r="B247" s="190" t="s">
        <v>939</v>
      </c>
      <c r="C247" s="186">
        <f t="shared" si="21"/>
        <v>126.41509433962264</v>
      </c>
      <c r="E247" s="182">
        <v>34</v>
      </c>
      <c r="F247" s="183">
        <v>12</v>
      </c>
      <c r="G247" s="191">
        <f t="shared" si="22"/>
        <v>183.33333333333331</v>
      </c>
      <c r="H247" s="188">
        <f t="shared" si="23"/>
        <v>0.12084592145015105</v>
      </c>
      <c r="I247" s="188">
        <f t="shared" si="24"/>
        <v>5.4426705370101594E-2</v>
      </c>
      <c r="J247" s="182">
        <v>360</v>
      </c>
      <c r="K247" s="183">
        <v>159</v>
      </c>
      <c r="L247" s="191">
        <f t="shared" si="25"/>
        <v>126.41509433962264</v>
      </c>
      <c r="M247" s="188">
        <f t="shared" si="26"/>
        <v>0.17145388128723765</v>
      </c>
      <c r="N247" s="189">
        <f t="shared" si="27"/>
        <v>7.7697419859265052E-2</v>
      </c>
    </row>
    <row r="248" spans="1:14" hidden="1" outlineLevel="1">
      <c r="A248" s="180"/>
      <c r="B248" s="190" t="s">
        <v>937</v>
      </c>
      <c r="C248" s="186">
        <f t="shared" si="21"/>
        <v>-14.322250639386189</v>
      </c>
      <c r="E248" s="182">
        <v>3</v>
      </c>
      <c r="F248" s="183">
        <v>180</v>
      </c>
      <c r="G248" s="191">
        <f t="shared" si="22"/>
        <v>-98.333333333333329</v>
      </c>
      <c r="H248" s="188">
        <f t="shared" si="23"/>
        <v>1.0662875422072152E-2</v>
      </c>
      <c r="I248" s="188">
        <f t="shared" si="24"/>
        <v>0.81640058055152398</v>
      </c>
      <c r="J248" s="182">
        <v>335</v>
      </c>
      <c r="K248" s="183">
        <v>391</v>
      </c>
      <c r="L248" s="191">
        <f t="shared" si="25"/>
        <v>-14.322250639386189</v>
      </c>
      <c r="M248" s="188">
        <f t="shared" si="26"/>
        <v>0.1595473617534017</v>
      </c>
      <c r="N248" s="189">
        <f t="shared" si="27"/>
        <v>0.19106724003127443</v>
      </c>
    </row>
    <row r="249" spans="1:14" hidden="1" outlineLevel="1">
      <c r="A249" s="180"/>
      <c r="B249" s="190" t="s">
        <v>940</v>
      </c>
      <c r="C249" s="186">
        <f t="shared" si="21"/>
        <v>5.8823529411764701</v>
      </c>
      <c r="E249" s="182">
        <v>12</v>
      </c>
      <c r="F249" s="183">
        <v>24</v>
      </c>
      <c r="G249" s="191">
        <f t="shared" si="22"/>
        <v>-50</v>
      </c>
      <c r="H249" s="188">
        <f t="shared" si="23"/>
        <v>4.2651501688288608E-2</v>
      </c>
      <c r="I249" s="188">
        <f t="shared" si="24"/>
        <v>0.10885341074020319</v>
      </c>
      <c r="J249" s="182">
        <v>144</v>
      </c>
      <c r="K249" s="183">
        <v>136</v>
      </c>
      <c r="L249" s="191">
        <f t="shared" si="25"/>
        <v>5.8823529411764701</v>
      </c>
      <c r="M249" s="188">
        <f t="shared" si="26"/>
        <v>6.8581552514895061E-2</v>
      </c>
      <c r="N249" s="189">
        <f t="shared" si="27"/>
        <v>6.6458170445660672E-2</v>
      </c>
    </row>
    <row r="250" spans="1:14" hidden="1" outlineLevel="1">
      <c r="A250" s="180"/>
      <c r="B250" s="190" t="s">
        <v>938</v>
      </c>
      <c r="C250" s="186">
        <f t="shared" si="21"/>
        <v>-13.986013986013987</v>
      </c>
      <c r="E250" s="182">
        <v>9</v>
      </c>
      <c r="F250" s="183">
        <v>12</v>
      </c>
      <c r="G250" s="191">
        <f t="shared" si="22"/>
        <v>-25</v>
      </c>
      <c r="H250" s="188">
        <f t="shared" si="23"/>
        <v>3.1988626266216458E-2</v>
      </c>
      <c r="I250" s="188">
        <f t="shared" si="24"/>
        <v>5.4426705370101594E-2</v>
      </c>
      <c r="J250" s="182">
        <v>123</v>
      </c>
      <c r="K250" s="183">
        <v>143</v>
      </c>
      <c r="L250" s="191">
        <f t="shared" si="25"/>
        <v>-13.986013986013987</v>
      </c>
      <c r="M250" s="188">
        <f t="shared" si="26"/>
        <v>5.8580076106472867E-2</v>
      </c>
      <c r="N250" s="189">
        <f t="shared" si="27"/>
        <v>6.9878811571540259E-2</v>
      </c>
    </row>
    <row r="251" spans="1:14" hidden="1" outlineLevel="1">
      <c r="A251" s="180"/>
      <c r="B251" s="190" t="s">
        <v>941</v>
      </c>
      <c r="C251" s="186">
        <f t="shared" si="21"/>
        <v>65.714285714285708</v>
      </c>
      <c r="E251" s="182">
        <v>4</v>
      </c>
      <c r="F251" s="183">
        <v>3</v>
      </c>
      <c r="G251" s="191">
        <f t="shared" si="22"/>
        <v>33.333333333333329</v>
      </c>
      <c r="H251" s="188">
        <f t="shared" si="23"/>
        <v>1.4217167229429537E-2</v>
      </c>
      <c r="I251" s="188">
        <f t="shared" si="24"/>
        <v>1.3606676342525399E-2</v>
      </c>
      <c r="J251" s="182">
        <v>58</v>
      </c>
      <c r="K251" s="183">
        <v>35</v>
      </c>
      <c r="L251" s="191">
        <f t="shared" si="25"/>
        <v>65.714285714285708</v>
      </c>
      <c r="M251" s="188">
        <f t="shared" si="26"/>
        <v>2.7623125318499395E-2</v>
      </c>
      <c r="N251" s="189">
        <f t="shared" si="27"/>
        <v>1.7103205629397968E-2</v>
      </c>
    </row>
    <row r="252" spans="1:14" hidden="1" outlineLevel="1">
      <c r="A252" s="180"/>
      <c r="B252" s="190" t="s">
        <v>942</v>
      </c>
      <c r="C252" s="186">
        <f t="shared" si="21"/>
        <v>-54.54545454545454</v>
      </c>
      <c r="E252" s="182">
        <v>0</v>
      </c>
      <c r="F252" s="183">
        <v>0</v>
      </c>
      <c r="G252" s="191" t="str">
        <f t="shared" si="22"/>
        <v/>
      </c>
      <c r="H252" s="188" t="str">
        <f t="shared" si="23"/>
        <v/>
      </c>
      <c r="I252" s="188" t="str">
        <f t="shared" si="24"/>
        <v/>
      </c>
      <c r="J252" s="182">
        <v>5</v>
      </c>
      <c r="K252" s="183">
        <v>11</v>
      </c>
      <c r="L252" s="191">
        <f t="shared" si="25"/>
        <v>-54.54545454545454</v>
      </c>
      <c r="M252" s="188">
        <f t="shared" si="26"/>
        <v>2.3813039067671895E-3</v>
      </c>
      <c r="N252" s="189">
        <f t="shared" si="27"/>
        <v>5.3752931978107901E-3</v>
      </c>
    </row>
    <row r="253" spans="1:14" hidden="1" outlineLevel="1">
      <c r="A253" s="180"/>
      <c r="B253" s="190" t="s">
        <v>943</v>
      </c>
      <c r="C253" s="186">
        <f t="shared" si="21"/>
        <v>-100</v>
      </c>
      <c r="E253" s="182">
        <v>0</v>
      </c>
      <c r="F253" s="183">
        <v>0</v>
      </c>
      <c r="G253" s="191" t="str">
        <f t="shared" si="22"/>
        <v/>
      </c>
      <c r="H253" s="188" t="str">
        <f t="shared" si="23"/>
        <v/>
      </c>
      <c r="I253" s="188" t="str">
        <f t="shared" si="24"/>
        <v/>
      </c>
      <c r="J253" s="182">
        <v>0</v>
      </c>
      <c r="K253" s="183">
        <v>6</v>
      </c>
      <c r="L253" s="191">
        <f t="shared" si="25"/>
        <v>-100</v>
      </c>
      <c r="M253" s="188" t="str">
        <f t="shared" si="26"/>
        <v/>
      </c>
      <c r="N253" s="189">
        <f t="shared" si="27"/>
        <v>2.9319781078967944E-3</v>
      </c>
    </row>
    <row r="254" spans="1:14" collapsed="1">
      <c r="A254" s="180" t="s">
        <v>1293</v>
      </c>
      <c r="B254" s="179" t="s">
        <v>504</v>
      </c>
      <c r="C254" s="186" t="str">
        <f t="shared" si="21"/>
        <v/>
      </c>
      <c r="E254" s="182">
        <v>601</v>
      </c>
      <c r="F254" s="183">
        <v>0</v>
      </c>
      <c r="G254" s="191" t="str">
        <f t="shared" si="22"/>
        <v/>
      </c>
      <c r="H254" s="188">
        <f t="shared" si="23"/>
        <v>2.1361293762217879</v>
      </c>
      <c r="I254" s="188" t="str">
        <f t="shared" si="24"/>
        <v/>
      </c>
      <c r="J254" s="182">
        <v>2486</v>
      </c>
      <c r="K254" s="183">
        <v>0</v>
      </c>
      <c r="L254" s="191" t="str">
        <f t="shared" si="25"/>
        <v/>
      </c>
      <c r="M254" s="188">
        <f t="shared" si="26"/>
        <v>1.1839843024446466</v>
      </c>
      <c r="N254" s="189" t="str">
        <f t="shared" si="27"/>
        <v/>
      </c>
    </row>
    <row r="255" spans="1:14" hidden="1" outlineLevel="1">
      <c r="A255" s="180"/>
      <c r="B255" s="190" t="s">
        <v>1030</v>
      </c>
      <c r="C255" s="186" t="str">
        <f t="shared" si="21"/>
        <v/>
      </c>
      <c r="E255" s="182">
        <v>598</v>
      </c>
      <c r="F255" s="183">
        <v>0</v>
      </c>
      <c r="G255" s="191" t="str">
        <f t="shared" si="22"/>
        <v/>
      </c>
      <c r="H255" s="188">
        <f t="shared" si="23"/>
        <v>2.1254665007997158</v>
      </c>
      <c r="I255" s="188" t="str">
        <f t="shared" si="24"/>
        <v/>
      </c>
      <c r="J255" s="182">
        <v>2317</v>
      </c>
      <c r="K255" s="183">
        <v>0</v>
      </c>
      <c r="L255" s="191" t="str">
        <f t="shared" si="25"/>
        <v/>
      </c>
      <c r="M255" s="188">
        <f t="shared" si="26"/>
        <v>1.1034962303959155</v>
      </c>
      <c r="N255" s="189" t="str">
        <f t="shared" si="27"/>
        <v/>
      </c>
    </row>
    <row r="256" spans="1:14" hidden="1" outlineLevel="1">
      <c r="A256" s="180"/>
      <c r="B256" s="190" t="s">
        <v>1074</v>
      </c>
      <c r="C256" s="186" t="str">
        <f t="shared" si="21"/>
        <v/>
      </c>
      <c r="E256" s="182">
        <v>2</v>
      </c>
      <c r="F256" s="183">
        <v>0</v>
      </c>
      <c r="G256" s="191" t="str">
        <f t="shared" si="22"/>
        <v/>
      </c>
      <c r="H256" s="188">
        <f t="shared" si="23"/>
        <v>7.1085836147147686E-3</v>
      </c>
      <c r="I256" s="188" t="str">
        <f t="shared" si="24"/>
        <v/>
      </c>
      <c r="J256" s="182">
        <v>105</v>
      </c>
      <c r="K256" s="183">
        <v>0</v>
      </c>
      <c r="L256" s="191" t="str">
        <f t="shared" si="25"/>
        <v/>
      </c>
      <c r="M256" s="188">
        <f t="shared" si="26"/>
        <v>5.0007382042110984E-2</v>
      </c>
      <c r="N256" s="189" t="str">
        <f t="shared" si="27"/>
        <v/>
      </c>
    </row>
    <row r="257" spans="1:14" hidden="1" outlineLevel="1">
      <c r="A257" s="180"/>
      <c r="B257" s="190" t="s">
        <v>1019</v>
      </c>
      <c r="C257" s="186" t="str">
        <f t="shared" si="21"/>
        <v/>
      </c>
      <c r="E257" s="182">
        <v>1</v>
      </c>
      <c r="F257" s="183">
        <v>0</v>
      </c>
      <c r="G257" s="191" t="str">
        <f t="shared" si="22"/>
        <v/>
      </c>
      <c r="H257" s="188">
        <f t="shared" si="23"/>
        <v>3.5542918073573843E-3</v>
      </c>
      <c r="I257" s="188" t="str">
        <f t="shared" si="24"/>
        <v/>
      </c>
      <c r="J257" s="182">
        <v>64</v>
      </c>
      <c r="K257" s="183">
        <v>0</v>
      </c>
      <c r="L257" s="191" t="str">
        <f t="shared" si="25"/>
        <v/>
      </c>
      <c r="M257" s="188">
        <f t="shared" si="26"/>
        <v>3.0480690006620025E-2</v>
      </c>
      <c r="N257" s="189" t="str">
        <f t="shared" si="27"/>
        <v/>
      </c>
    </row>
    <row r="258" spans="1:14" collapsed="1">
      <c r="A258" s="180" t="s">
        <v>1294</v>
      </c>
      <c r="B258" s="179" t="s">
        <v>285</v>
      </c>
      <c r="C258" s="186">
        <f t="shared" si="21"/>
        <v>18.832487309644669</v>
      </c>
      <c r="E258" s="182">
        <v>214</v>
      </c>
      <c r="F258" s="183">
        <v>125</v>
      </c>
      <c r="G258" s="191">
        <f t="shared" si="22"/>
        <v>71.2</v>
      </c>
      <c r="H258" s="188">
        <f t="shared" si="23"/>
        <v>0.76061844677448009</v>
      </c>
      <c r="I258" s="188">
        <f t="shared" si="24"/>
        <v>0.5669448476052249</v>
      </c>
      <c r="J258" s="182">
        <v>2341</v>
      </c>
      <c r="K258" s="183">
        <v>1970</v>
      </c>
      <c r="L258" s="191">
        <f t="shared" si="25"/>
        <v>18.832487309644669</v>
      </c>
      <c r="M258" s="188">
        <f t="shared" si="26"/>
        <v>1.1149264891483981</v>
      </c>
      <c r="N258" s="189">
        <f t="shared" si="27"/>
        <v>0.96266614542611406</v>
      </c>
    </row>
    <row r="259" spans="1:14" hidden="1" outlineLevel="1">
      <c r="A259" s="180"/>
      <c r="B259" s="190" t="s">
        <v>919</v>
      </c>
      <c r="C259" s="186">
        <f t="shared" si="21"/>
        <v>40.089086859688194</v>
      </c>
      <c r="E259" s="182">
        <v>70</v>
      </c>
      <c r="F259" s="183">
        <v>32</v>
      </c>
      <c r="G259" s="191">
        <f t="shared" si="22"/>
        <v>118.75</v>
      </c>
      <c r="H259" s="188">
        <f t="shared" si="23"/>
        <v>0.24880042651501691</v>
      </c>
      <c r="I259" s="188">
        <f t="shared" si="24"/>
        <v>0.14513788098693758</v>
      </c>
      <c r="J259" s="182">
        <v>629</v>
      </c>
      <c r="K259" s="183">
        <v>449</v>
      </c>
      <c r="L259" s="191">
        <f t="shared" si="25"/>
        <v>40.089086859688194</v>
      </c>
      <c r="M259" s="188">
        <f t="shared" si="26"/>
        <v>0.29956803147131239</v>
      </c>
      <c r="N259" s="189">
        <f t="shared" si="27"/>
        <v>0.21940969507427679</v>
      </c>
    </row>
    <row r="260" spans="1:14" hidden="1" outlineLevel="1">
      <c r="A260" s="180"/>
      <c r="B260" s="190" t="s">
        <v>918</v>
      </c>
      <c r="C260" s="186">
        <f t="shared" si="21"/>
        <v>-9.3220338983050848</v>
      </c>
      <c r="E260" s="182">
        <v>47</v>
      </c>
      <c r="F260" s="183">
        <v>7</v>
      </c>
      <c r="G260" s="191">
        <f t="shared" si="22"/>
        <v>571.42857142857144</v>
      </c>
      <c r="H260" s="188">
        <f t="shared" si="23"/>
        <v>0.16705171494579707</v>
      </c>
      <c r="I260" s="188">
        <f t="shared" si="24"/>
        <v>3.17489114658926E-2</v>
      </c>
      <c r="J260" s="182">
        <v>535</v>
      </c>
      <c r="K260" s="183">
        <v>590</v>
      </c>
      <c r="L260" s="191">
        <f t="shared" si="25"/>
        <v>-9.3220338983050848</v>
      </c>
      <c r="M260" s="188">
        <f t="shared" si="26"/>
        <v>0.25479951802408929</v>
      </c>
      <c r="N260" s="189">
        <f t="shared" si="27"/>
        <v>0.28831118060985145</v>
      </c>
    </row>
    <row r="261" spans="1:14" hidden="1" outlineLevel="1">
      <c r="A261" s="180"/>
      <c r="B261" s="190">
        <v>911</v>
      </c>
      <c r="C261" s="186">
        <f t="shared" si="21"/>
        <v>45.197740112994353</v>
      </c>
      <c r="E261" s="182">
        <v>35</v>
      </c>
      <c r="F261" s="183">
        <v>28</v>
      </c>
      <c r="G261" s="191">
        <f t="shared" si="22"/>
        <v>25</v>
      </c>
      <c r="H261" s="188">
        <f t="shared" si="23"/>
        <v>0.12440021325750845</v>
      </c>
      <c r="I261" s="188">
        <f t="shared" si="24"/>
        <v>0.1269956458635704</v>
      </c>
      <c r="J261" s="182">
        <v>514</v>
      </c>
      <c r="K261" s="183">
        <v>354</v>
      </c>
      <c r="L261" s="191">
        <f t="shared" si="25"/>
        <v>45.197740112994353</v>
      </c>
      <c r="M261" s="188">
        <f t="shared" si="26"/>
        <v>0.24479804161566704</v>
      </c>
      <c r="N261" s="189">
        <f t="shared" si="27"/>
        <v>0.17298670836591087</v>
      </c>
    </row>
    <row r="262" spans="1:14" hidden="1" outlineLevel="1">
      <c r="A262" s="180"/>
      <c r="B262" s="190" t="s">
        <v>920</v>
      </c>
      <c r="C262" s="186">
        <f t="shared" si="21"/>
        <v>31.11888111888112</v>
      </c>
      <c r="E262" s="182">
        <v>36</v>
      </c>
      <c r="F262" s="183">
        <v>31</v>
      </c>
      <c r="G262" s="191">
        <f t="shared" si="22"/>
        <v>16.129032258064516</v>
      </c>
      <c r="H262" s="188">
        <f t="shared" si="23"/>
        <v>0.12795450506486583</v>
      </c>
      <c r="I262" s="188">
        <f t="shared" si="24"/>
        <v>0.14060232220609578</v>
      </c>
      <c r="J262" s="182">
        <v>375</v>
      </c>
      <c r="K262" s="183">
        <v>286</v>
      </c>
      <c r="L262" s="191">
        <f t="shared" si="25"/>
        <v>31.11888111888112</v>
      </c>
      <c r="M262" s="188">
        <f t="shared" si="26"/>
        <v>0.17859779300753922</v>
      </c>
      <c r="N262" s="189">
        <f t="shared" si="27"/>
        <v>0.13975762314308052</v>
      </c>
    </row>
    <row r="263" spans="1:14" hidden="1" outlineLevel="1">
      <c r="A263" s="180"/>
      <c r="B263" s="190" t="s">
        <v>921</v>
      </c>
      <c r="C263" s="186">
        <f t="shared" si="21"/>
        <v>3.9215686274509802</v>
      </c>
      <c r="E263" s="182">
        <v>18</v>
      </c>
      <c r="F263" s="183">
        <v>12</v>
      </c>
      <c r="G263" s="191">
        <f t="shared" si="22"/>
        <v>50</v>
      </c>
      <c r="H263" s="188">
        <f t="shared" si="23"/>
        <v>6.3977252532432916E-2</v>
      </c>
      <c r="I263" s="188">
        <f t="shared" si="24"/>
        <v>5.4426705370101594E-2</v>
      </c>
      <c r="J263" s="182">
        <v>159</v>
      </c>
      <c r="K263" s="183">
        <v>153</v>
      </c>
      <c r="L263" s="191">
        <f t="shared" si="25"/>
        <v>3.9215686274509802</v>
      </c>
      <c r="M263" s="188">
        <f t="shared" si="26"/>
        <v>7.5725464235196632E-2</v>
      </c>
      <c r="N263" s="189">
        <f t="shared" si="27"/>
        <v>7.4765441751368247E-2</v>
      </c>
    </row>
    <row r="264" spans="1:14" hidden="1" outlineLevel="1">
      <c r="A264" s="180"/>
      <c r="B264" s="190">
        <v>718</v>
      </c>
      <c r="C264" s="186">
        <f t="shared" si="21"/>
        <v>-6.5217391304347823</v>
      </c>
      <c r="E264" s="182">
        <v>8</v>
      </c>
      <c r="F264" s="183">
        <v>15</v>
      </c>
      <c r="G264" s="191">
        <f t="shared" si="22"/>
        <v>-46.666666666666664</v>
      </c>
      <c r="H264" s="188">
        <f t="shared" si="23"/>
        <v>2.8434334458859074E-2</v>
      </c>
      <c r="I264" s="188">
        <f t="shared" si="24"/>
        <v>6.8033381712626989E-2</v>
      </c>
      <c r="J264" s="182">
        <v>129</v>
      </c>
      <c r="K264" s="183">
        <v>138</v>
      </c>
      <c r="L264" s="191">
        <f t="shared" si="25"/>
        <v>-6.5217391304347823</v>
      </c>
      <c r="M264" s="188">
        <f t="shared" si="26"/>
        <v>6.143764079459349E-2</v>
      </c>
      <c r="N264" s="189">
        <f t="shared" si="27"/>
        <v>6.7435496481626278E-2</v>
      </c>
    </row>
    <row r="265" spans="1:14" collapsed="1">
      <c r="A265" s="180" t="s">
        <v>1253</v>
      </c>
      <c r="B265" s="179" t="s">
        <v>283</v>
      </c>
      <c r="C265" s="186">
        <f t="shared" si="21"/>
        <v>-8.5570469798657722</v>
      </c>
      <c r="E265" s="182">
        <v>289</v>
      </c>
      <c r="F265" s="183">
        <v>221</v>
      </c>
      <c r="G265" s="191">
        <f t="shared" si="22"/>
        <v>30.76923076923077</v>
      </c>
      <c r="H265" s="188">
        <f t="shared" si="23"/>
        <v>1.0271903323262841</v>
      </c>
      <c r="I265" s="188">
        <f t="shared" si="24"/>
        <v>1.0023584905660377</v>
      </c>
      <c r="J265" s="182">
        <v>2180</v>
      </c>
      <c r="K265" s="183">
        <v>2384</v>
      </c>
      <c r="L265" s="191">
        <f t="shared" si="25"/>
        <v>-8.5570469798657722</v>
      </c>
      <c r="M265" s="188">
        <f t="shared" si="26"/>
        <v>1.0382485033504945</v>
      </c>
      <c r="N265" s="189">
        <f t="shared" si="27"/>
        <v>1.164972634870993</v>
      </c>
    </row>
    <row r="266" spans="1:14" hidden="1" outlineLevel="1">
      <c r="A266" s="180"/>
      <c r="B266" s="190" t="s">
        <v>904</v>
      </c>
      <c r="C266" s="186">
        <f t="shared" ref="C266:C329" si="28">IF(K266=0,"",SUM(((J266-K266)/K266)*100))</f>
        <v>-4.9522154648132064</v>
      </c>
      <c r="E266" s="182">
        <v>152</v>
      </c>
      <c r="F266" s="183">
        <v>101</v>
      </c>
      <c r="G266" s="191">
        <f t="shared" ref="G266:G329" si="29">IF(F266=0,"",SUM(((E266-F266)/F266)*100))</f>
        <v>50.495049504950494</v>
      </c>
      <c r="H266" s="188">
        <f t="shared" ref="H266:H329" si="30">IF(E266=0,"",SUM((E266/CntPeriod)*100))</f>
        <v>0.54025235471832234</v>
      </c>
      <c r="I266" s="188">
        <f t="shared" ref="I266:I329" si="31">IF(F266=0,"",SUM((F266/CntPeriodPrevYear)*100))</f>
        <v>0.45809143686502174</v>
      </c>
      <c r="J266" s="182">
        <v>1094</v>
      </c>
      <c r="K266" s="183">
        <v>1151</v>
      </c>
      <c r="L266" s="191">
        <f t="shared" ref="L266:L329" si="32">IF(K266=0,"",SUM(((J266-K266)/K266)*100))</f>
        <v>-4.9522154648132064</v>
      </c>
      <c r="M266" s="188">
        <f t="shared" ref="M266:M329" si="33">IF(J266=0,"",SUM((J266/CntYearAck)*100))</f>
        <v>0.52102929480066107</v>
      </c>
      <c r="N266" s="189">
        <f t="shared" ref="N266:N329" si="34">IF(K266=0,"",SUM((K266/CntPrevYearAck)*100))</f>
        <v>0.56245113369820177</v>
      </c>
    </row>
    <row r="267" spans="1:14" hidden="1" outlineLevel="1">
      <c r="A267" s="180"/>
      <c r="B267" s="190" t="s">
        <v>905</v>
      </c>
      <c r="C267" s="186">
        <f t="shared" si="28"/>
        <v>-24.006359300476948</v>
      </c>
      <c r="E267" s="182">
        <v>10</v>
      </c>
      <c r="F267" s="183">
        <v>32</v>
      </c>
      <c r="G267" s="191">
        <f t="shared" si="29"/>
        <v>-68.75</v>
      </c>
      <c r="H267" s="188">
        <f t="shared" si="30"/>
        <v>3.5542918073573841E-2</v>
      </c>
      <c r="I267" s="188">
        <f t="shared" si="31"/>
        <v>0.14513788098693758</v>
      </c>
      <c r="J267" s="182">
        <v>478</v>
      </c>
      <c r="K267" s="183">
        <v>629</v>
      </c>
      <c r="L267" s="191">
        <f t="shared" si="32"/>
        <v>-24.006359300476948</v>
      </c>
      <c r="M267" s="188">
        <f t="shared" si="33"/>
        <v>0.2276526534869433</v>
      </c>
      <c r="N267" s="189">
        <f t="shared" si="34"/>
        <v>0.30736903831118062</v>
      </c>
    </row>
    <row r="268" spans="1:14" hidden="1" outlineLevel="1">
      <c r="A268" s="180"/>
      <c r="B268" s="190" t="s">
        <v>906</v>
      </c>
      <c r="C268" s="186">
        <f t="shared" si="28"/>
        <v>19.78798586572438</v>
      </c>
      <c r="E268" s="182">
        <v>98</v>
      </c>
      <c r="F268" s="183">
        <v>42</v>
      </c>
      <c r="G268" s="191">
        <f t="shared" si="29"/>
        <v>133.33333333333331</v>
      </c>
      <c r="H268" s="188">
        <f t="shared" si="30"/>
        <v>0.34832059712102365</v>
      </c>
      <c r="I268" s="188">
        <f t="shared" si="31"/>
        <v>0.19049346879535559</v>
      </c>
      <c r="J268" s="182">
        <v>339</v>
      </c>
      <c r="K268" s="183">
        <v>283</v>
      </c>
      <c r="L268" s="191">
        <f t="shared" si="32"/>
        <v>19.78798586572438</v>
      </c>
      <c r="M268" s="188">
        <f t="shared" si="33"/>
        <v>0.16145240487881546</v>
      </c>
      <c r="N268" s="189">
        <f t="shared" si="34"/>
        <v>0.13829163408913214</v>
      </c>
    </row>
    <row r="269" spans="1:14" hidden="1" outlineLevel="1">
      <c r="A269" s="180"/>
      <c r="B269" s="190" t="s">
        <v>908</v>
      </c>
      <c r="C269" s="186">
        <f t="shared" si="28"/>
        <v>3.225806451612903</v>
      </c>
      <c r="E269" s="182">
        <v>28</v>
      </c>
      <c r="F269" s="183">
        <v>42</v>
      </c>
      <c r="G269" s="191">
        <f t="shared" si="29"/>
        <v>-33.333333333333329</v>
      </c>
      <c r="H269" s="188">
        <f t="shared" si="30"/>
        <v>9.9520170606006736E-2</v>
      </c>
      <c r="I269" s="188">
        <f t="shared" si="31"/>
        <v>0.19049346879535559</v>
      </c>
      <c r="J269" s="182">
        <v>224</v>
      </c>
      <c r="K269" s="183">
        <v>217</v>
      </c>
      <c r="L269" s="191">
        <f t="shared" si="32"/>
        <v>3.225806451612903</v>
      </c>
      <c r="M269" s="188">
        <f t="shared" si="33"/>
        <v>0.10668241502317008</v>
      </c>
      <c r="N269" s="189">
        <f t="shared" si="34"/>
        <v>0.10603987490226739</v>
      </c>
    </row>
    <row r="270" spans="1:14" hidden="1" outlineLevel="1">
      <c r="A270" s="180"/>
      <c r="B270" s="190" t="s">
        <v>910</v>
      </c>
      <c r="C270" s="186">
        <f t="shared" si="28"/>
        <v>66.666666666666657</v>
      </c>
      <c r="E270" s="182">
        <v>1</v>
      </c>
      <c r="F270" s="183">
        <v>2</v>
      </c>
      <c r="G270" s="191">
        <f t="shared" si="29"/>
        <v>-50</v>
      </c>
      <c r="H270" s="188">
        <f t="shared" si="30"/>
        <v>3.5542918073573843E-3</v>
      </c>
      <c r="I270" s="188">
        <f t="shared" si="31"/>
        <v>9.071117561683599E-3</v>
      </c>
      <c r="J270" s="182">
        <v>30</v>
      </c>
      <c r="K270" s="183">
        <v>18</v>
      </c>
      <c r="L270" s="191">
        <f t="shared" si="32"/>
        <v>66.666666666666657</v>
      </c>
      <c r="M270" s="188">
        <f t="shared" si="33"/>
        <v>1.4287823440603137E-2</v>
      </c>
      <c r="N270" s="189">
        <f t="shared" si="34"/>
        <v>8.7959343236903818E-3</v>
      </c>
    </row>
    <row r="271" spans="1:14" hidden="1" outlineLevel="1">
      <c r="A271" s="180"/>
      <c r="B271" s="190" t="s">
        <v>911</v>
      </c>
      <c r="C271" s="186">
        <f t="shared" si="28"/>
        <v>-6.25</v>
      </c>
      <c r="E271" s="182">
        <v>0</v>
      </c>
      <c r="F271" s="183">
        <v>2</v>
      </c>
      <c r="G271" s="191">
        <f t="shared" si="29"/>
        <v>-100</v>
      </c>
      <c r="H271" s="188" t="str">
        <f t="shared" si="30"/>
        <v/>
      </c>
      <c r="I271" s="188">
        <f t="shared" si="31"/>
        <v>9.071117561683599E-3</v>
      </c>
      <c r="J271" s="182">
        <v>15</v>
      </c>
      <c r="K271" s="183">
        <v>16</v>
      </c>
      <c r="L271" s="191">
        <f t="shared" si="32"/>
        <v>-6.25</v>
      </c>
      <c r="M271" s="188">
        <f t="shared" si="33"/>
        <v>7.1439117203015686E-3</v>
      </c>
      <c r="N271" s="189">
        <f t="shared" si="34"/>
        <v>7.8186082877247844E-3</v>
      </c>
    </row>
    <row r="272" spans="1:14" hidden="1" outlineLevel="1">
      <c r="A272" s="180"/>
      <c r="B272" s="190" t="s">
        <v>907</v>
      </c>
      <c r="C272" s="186">
        <f t="shared" si="28"/>
        <v>-100</v>
      </c>
      <c r="E272" s="182">
        <v>0</v>
      </c>
      <c r="F272" s="183">
        <v>0</v>
      </c>
      <c r="G272" s="191" t="str">
        <f t="shared" si="29"/>
        <v/>
      </c>
      <c r="H272" s="188" t="str">
        <f t="shared" si="30"/>
        <v/>
      </c>
      <c r="I272" s="188" t="str">
        <f t="shared" si="31"/>
        <v/>
      </c>
      <c r="J272" s="182">
        <v>0</v>
      </c>
      <c r="K272" s="183">
        <v>50</v>
      </c>
      <c r="L272" s="191">
        <f t="shared" si="32"/>
        <v>-100</v>
      </c>
      <c r="M272" s="188" t="str">
        <f t="shared" si="33"/>
        <v/>
      </c>
      <c r="N272" s="189">
        <f t="shared" si="34"/>
        <v>2.4433150899139951E-2</v>
      </c>
    </row>
    <row r="273" spans="1:14" hidden="1" outlineLevel="1">
      <c r="A273" s="180"/>
      <c r="B273" s="190" t="s">
        <v>909</v>
      </c>
      <c r="C273" s="186">
        <f t="shared" si="28"/>
        <v>-100</v>
      </c>
      <c r="E273" s="182">
        <v>0</v>
      </c>
      <c r="F273" s="183">
        <v>0</v>
      </c>
      <c r="G273" s="191" t="str">
        <f t="shared" si="29"/>
        <v/>
      </c>
      <c r="H273" s="188" t="str">
        <f t="shared" si="30"/>
        <v/>
      </c>
      <c r="I273" s="188" t="str">
        <f t="shared" si="31"/>
        <v/>
      </c>
      <c r="J273" s="182">
        <v>0</v>
      </c>
      <c r="K273" s="183">
        <v>19</v>
      </c>
      <c r="L273" s="191">
        <f t="shared" si="32"/>
        <v>-100</v>
      </c>
      <c r="M273" s="188" t="str">
        <f t="shared" si="33"/>
        <v/>
      </c>
      <c r="N273" s="189">
        <f t="shared" si="34"/>
        <v>9.2845973416731814E-3</v>
      </c>
    </row>
    <row r="274" spans="1:14" hidden="1" outlineLevel="1">
      <c r="A274" s="180"/>
      <c r="B274" s="190" t="s">
        <v>1193</v>
      </c>
      <c r="C274" s="186">
        <f t="shared" si="28"/>
        <v>-100</v>
      </c>
      <c r="E274" s="182">
        <v>0</v>
      </c>
      <c r="F274" s="183">
        <v>0</v>
      </c>
      <c r="G274" s="191" t="str">
        <f t="shared" si="29"/>
        <v/>
      </c>
      <c r="H274" s="188" t="str">
        <f t="shared" si="30"/>
        <v/>
      </c>
      <c r="I274" s="188" t="str">
        <f t="shared" si="31"/>
        <v/>
      </c>
      <c r="J274" s="182">
        <v>0</v>
      </c>
      <c r="K274" s="183">
        <v>1</v>
      </c>
      <c r="L274" s="191">
        <f t="shared" si="32"/>
        <v>-100</v>
      </c>
      <c r="M274" s="188" t="str">
        <f t="shared" si="33"/>
        <v/>
      </c>
      <c r="N274" s="189">
        <f t="shared" si="34"/>
        <v>4.8866301798279903E-4</v>
      </c>
    </row>
    <row r="275" spans="1:14" collapsed="1">
      <c r="A275" s="180" t="s">
        <v>1295</v>
      </c>
      <c r="B275" s="179" t="s">
        <v>264</v>
      </c>
      <c r="C275" s="186">
        <f t="shared" si="28"/>
        <v>-6.303084488153778</v>
      </c>
      <c r="E275" s="182">
        <v>163</v>
      </c>
      <c r="F275" s="183">
        <v>226</v>
      </c>
      <c r="G275" s="191">
        <f t="shared" si="29"/>
        <v>-27.876106194690266</v>
      </c>
      <c r="H275" s="188">
        <f t="shared" si="30"/>
        <v>0.57934956459925357</v>
      </c>
      <c r="I275" s="188">
        <f t="shared" si="31"/>
        <v>1.0250362844702468</v>
      </c>
      <c r="J275" s="182">
        <v>2096</v>
      </c>
      <c r="K275" s="183">
        <v>2237</v>
      </c>
      <c r="L275" s="191">
        <f t="shared" si="32"/>
        <v>-6.303084488153778</v>
      </c>
      <c r="M275" s="188">
        <f t="shared" si="33"/>
        <v>0.99824259771680579</v>
      </c>
      <c r="N275" s="189">
        <f t="shared" si="34"/>
        <v>1.0931391712275216</v>
      </c>
    </row>
    <row r="276" spans="1:14" hidden="1" outlineLevel="1">
      <c r="A276" s="180"/>
      <c r="B276" s="190" t="s">
        <v>916</v>
      </c>
      <c r="C276" s="186">
        <f t="shared" si="28"/>
        <v>19.640564826700899</v>
      </c>
      <c r="E276" s="182">
        <v>84</v>
      </c>
      <c r="F276" s="183">
        <v>101</v>
      </c>
      <c r="G276" s="191">
        <f t="shared" si="29"/>
        <v>-16.831683168316832</v>
      </c>
      <c r="H276" s="188">
        <f t="shared" si="30"/>
        <v>0.29856051181802029</v>
      </c>
      <c r="I276" s="188">
        <f t="shared" si="31"/>
        <v>0.45809143686502174</v>
      </c>
      <c r="J276" s="182">
        <v>932</v>
      </c>
      <c r="K276" s="183">
        <v>779</v>
      </c>
      <c r="L276" s="191">
        <f t="shared" si="32"/>
        <v>19.640564826700899</v>
      </c>
      <c r="M276" s="188">
        <f t="shared" si="33"/>
        <v>0.44387504822140411</v>
      </c>
      <c r="N276" s="189">
        <f t="shared" si="34"/>
        <v>0.38066849100860045</v>
      </c>
    </row>
    <row r="277" spans="1:14" hidden="1" outlineLevel="1">
      <c r="A277" s="180"/>
      <c r="B277" s="190" t="s">
        <v>915</v>
      </c>
      <c r="C277" s="186">
        <f t="shared" si="28"/>
        <v>-28.229255774165949</v>
      </c>
      <c r="E277" s="182">
        <v>70</v>
      </c>
      <c r="F277" s="183">
        <v>97</v>
      </c>
      <c r="G277" s="191">
        <f t="shared" si="29"/>
        <v>-27.835051546391753</v>
      </c>
      <c r="H277" s="188">
        <f t="shared" si="30"/>
        <v>0.24880042651501691</v>
      </c>
      <c r="I277" s="188">
        <f t="shared" si="31"/>
        <v>0.43994920174165464</v>
      </c>
      <c r="J277" s="182">
        <v>839</v>
      </c>
      <c r="K277" s="183">
        <v>1169</v>
      </c>
      <c r="L277" s="191">
        <f t="shared" si="32"/>
        <v>-28.229255774165949</v>
      </c>
      <c r="M277" s="188">
        <f t="shared" si="33"/>
        <v>0.39958279555553433</v>
      </c>
      <c r="N277" s="189">
        <f t="shared" si="34"/>
        <v>0.57124706802189207</v>
      </c>
    </row>
    <row r="278" spans="1:14" hidden="1" outlineLevel="1">
      <c r="A278" s="180"/>
      <c r="B278" s="190" t="s">
        <v>917</v>
      </c>
      <c r="C278" s="186">
        <f t="shared" si="28"/>
        <v>12.45674740484429</v>
      </c>
      <c r="E278" s="182">
        <v>9</v>
      </c>
      <c r="F278" s="183">
        <v>28</v>
      </c>
      <c r="G278" s="191">
        <f t="shared" si="29"/>
        <v>-67.857142857142861</v>
      </c>
      <c r="H278" s="188">
        <f t="shared" si="30"/>
        <v>3.1988626266216458E-2</v>
      </c>
      <c r="I278" s="188">
        <f t="shared" si="31"/>
        <v>0.1269956458635704</v>
      </c>
      <c r="J278" s="182">
        <v>325</v>
      </c>
      <c r="K278" s="183">
        <v>289</v>
      </c>
      <c r="L278" s="191">
        <f t="shared" si="32"/>
        <v>12.45674740484429</v>
      </c>
      <c r="M278" s="188">
        <f t="shared" si="33"/>
        <v>0.15478475393986729</v>
      </c>
      <c r="N278" s="189">
        <f t="shared" si="34"/>
        <v>0.14122361219702892</v>
      </c>
    </row>
    <row r="279" spans="1:14" collapsed="1">
      <c r="A279" s="180" t="s">
        <v>1296</v>
      </c>
      <c r="B279" s="179" t="s">
        <v>289</v>
      </c>
      <c r="C279" s="186">
        <f t="shared" si="28"/>
        <v>33.741935483870968</v>
      </c>
      <c r="E279" s="182">
        <v>289</v>
      </c>
      <c r="F279" s="183">
        <v>162</v>
      </c>
      <c r="G279" s="191">
        <f t="shared" si="29"/>
        <v>78.395061728395063</v>
      </c>
      <c r="H279" s="188">
        <f t="shared" si="30"/>
        <v>1.0271903323262841</v>
      </c>
      <c r="I279" s="188">
        <f t="shared" si="31"/>
        <v>0.73476052249637158</v>
      </c>
      <c r="J279" s="182">
        <v>2073</v>
      </c>
      <c r="K279" s="183">
        <v>1550</v>
      </c>
      <c r="L279" s="191">
        <f t="shared" si="32"/>
        <v>33.741935483870968</v>
      </c>
      <c r="M279" s="188">
        <f t="shared" si="33"/>
        <v>0.98728859974567684</v>
      </c>
      <c r="N279" s="189">
        <f t="shared" si="34"/>
        <v>0.75742767787333853</v>
      </c>
    </row>
    <row r="280" spans="1:14" hidden="1" outlineLevel="1">
      <c r="A280" s="180"/>
      <c r="B280" s="190" t="s">
        <v>927</v>
      </c>
      <c r="C280" s="186">
        <f t="shared" si="28"/>
        <v>14.905362776025235</v>
      </c>
      <c r="E280" s="182">
        <v>226</v>
      </c>
      <c r="F280" s="183">
        <v>132</v>
      </c>
      <c r="G280" s="191">
        <f t="shared" si="29"/>
        <v>71.212121212121218</v>
      </c>
      <c r="H280" s="188">
        <f t="shared" si="30"/>
        <v>0.80326994846276878</v>
      </c>
      <c r="I280" s="188">
        <f t="shared" si="31"/>
        <v>0.59869375907111755</v>
      </c>
      <c r="J280" s="182">
        <v>1457</v>
      </c>
      <c r="K280" s="183">
        <v>1268</v>
      </c>
      <c r="L280" s="191">
        <f t="shared" si="32"/>
        <v>14.905362776025235</v>
      </c>
      <c r="M280" s="188">
        <f t="shared" si="33"/>
        <v>0.69391195843195896</v>
      </c>
      <c r="N280" s="189">
        <f t="shared" si="34"/>
        <v>0.61962470680218917</v>
      </c>
    </row>
    <row r="281" spans="1:14" hidden="1" outlineLevel="1">
      <c r="A281" s="180"/>
      <c r="B281" s="190" t="s">
        <v>929</v>
      </c>
      <c r="C281" s="186">
        <f t="shared" si="28"/>
        <v>73.825503355704697</v>
      </c>
      <c r="E281" s="182">
        <v>38</v>
      </c>
      <c r="F281" s="183">
        <v>17</v>
      </c>
      <c r="G281" s="191">
        <f t="shared" si="29"/>
        <v>123.52941176470588</v>
      </c>
      <c r="H281" s="188">
        <f t="shared" si="30"/>
        <v>0.13506308867958058</v>
      </c>
      <c r="I281" s="188">
        <f t="shared" si="31"/>
        <v>7.7104499274310595E-2</v>
      </c>
      <c r="J281" s="182">
        <v>259</v>
      </c>
      <c r="K281" s="183">
        <v>149</v>
      </c>
      <c r="L281" s="191">
        <f t="shared" si="32"/>
        <v>73.825503355704697</v>
      </c>
      <c r="M281" s="188">
        <f t="shared" si="33"/>
        <v>0.12335154237054043</v>
      </c>
      <c r="N281" s="189">
        <f t="shared" si="34"/>
        <v>7.2810789679437063E-2</v>
      </c>
    </row>
    <row r="282" spans="1:14" hidden="1" outlineLevel="1">
      <c r="A282" s="180"/>
      <c r="B282" s="190" t="s">
        <v>928</v>
      </c>
      <c r="C282" s="186">
        <f t="shared" si="28"/>
        <v>72.307692307692307</v>
      </c>
      <c r="E282" s="182">
        <v>12</v>
      </c>
      <c r="F282" s="183">
        <v>13</v>
      </c>
      <c r="G282" s="191">
        <f t="shared" si="29"/>
        <v>-7.6923076923076925</v>
      </c>
      <c r="H282" s="188">
        <f t="shared" si="30"/>
        <v>4.2651501688288608E-2</v>
      </c>
      <c r="I282" s="188">
        <f t="shared" si="31"/>
        <v>5.8962264150943397E-2</v>
      </c>
      <c r="J282" s="182">
        <v>224</v>
      </c>
      <c r="K282" s="183">
        <v>130</v>
      </c>
      <c r="L282" s="191">
        <f t="shared" si="32"/>
        <v>72.307692307692307</v>
      </c>
      <c r="M282" s="188">
        <f t="shared" si="33"/>
        <v>0.10668241502317008</v>
      </c>
      <c r="N282" s="189">
        <f t="shared" si="34"/>
        <v>6.3526192337763882E-2</v>
      </c>
    </row>
    <row r="283" spans="1:14" hidden="1" outlineLevel="1">
      <c r="A283" s="180"/>
      <c r="B283" s="190" t="s">
        <v>930</v>
      </c>
      <c r="C283" s="186">
        <f t="shared" si="28"/>
        <v>4333.3333333333339</v>
      </c>
      <c r="E283" s="182">
        <v>13</v>
      </c>
      <c r="F283" s="183">
        <v>0</v>
      </c>
      <c r="G283" s="191" t="str">
        <f t="shared" si="29"/>
        <v/>
      </c>
      <c r="H283" s="188">
        <f t="shared" si="30"/>
        <v>4.6205793495645991E-2</v>
      </c>
      <c r="I283" s="188" t="str">
        <f t="shared" si="31"/>
        <v/>
      </c>
      <c r="J283" s="182">
        <v>133</v>
      </c>
      <c r="K283" s="183">
        <v>3</v>
      </c>
      <c r="L283" s="191">
        <f t="shared" si="32"/>
        <v>4333.3333333333339</v>
      </c>
      <c r="M283" s="188">
        <f t="shared" si="33"/>
        <v>6.3342683920007234E-2</v>
      </c>
      <c r="N283" s="189">
        <f t="shared" si="34"/>
        <v>1.4659890539483972E-3</v>
      </c>
    </row>
    <row r="284" spans="1:14" collapsed="1">
      <c r="A284" s="180" t="s">
        <v>1297</v>
      </c>
      <c r="B284" s="179" t="s">
        <v>287</v>
      </c>
      <c r="C284" s="186">
        <f t="shared" si="28"/>
        <v>-51.597363083164304</v>
      </c>
      <c r="E284" s="182">
        <v>164</v>
      </c>
      <c r="F284" s="183">
        <v>470</v>
      </c>
      <c r="G284" s="191">
        <f t="shared" si="29"/>
        <v>-65.106382978723403</v>
      </c>
      <c r="H284" s="188">
        <f t="shared" si="30"/>
        <v>0.58290385640661102</v>
      </c>
      <c r="I284" s="188">
        <f t="shared" si="31"/>
        <v>2.1317126269956459</v>
      </c>
      <c r="J284" s="182">
        <v>1909</v>
      </c>
      <c r="K284" s="183">
        <v>3944</v>
      </c>
      <c r="L284" s="191">
        <f t="shared" si="32"/>
        <v>-51.597363083164304</v>
      </c>
      <c r="M284" s="188">
        <f t="shared" si="33"/>
        <v>0.9091818316037128</v>
      </c>
      <c r="N284" s="189">
        <f t="shared" si="34"/>
        <v>1.9272869429241595</v>
      </c>
    </row>
    <row r="285" spans="1:14" hidden="1" outlineLevel="1">
      <c r="A285" s="180"/>
      <c r="B285" s="190" t="s">
        <v>891</v>
      </c>
      <c r="C285" s="186">
        <f t="shared" si="28"/>
        <v>59.180035650623886</v>
      </c>
      <c r="E285" s="182">
        <v>77</v>
      </c>
      <c r="F285" s="183">
        <v>39</v>
      </c>
      <c r="G285" s="191">
        <f t="shared" si="29"/>
        <v>97.435897435897431</v>
      </c>
      <c r="H285" s="188">
        <f t="shared" si="30"/>
        <v>0.27368046916651856</v>
      </c>
      <c r="I285" s="188">
        <f t="shared" si="31"/>
        <v>0.1768867924528302</v>
      </c>
      <c r="J285" s="182">
        <v>893</v>
      </c>
      <c r="K285" s="183">
        <v>561</v>
      </c>
      <c r="L285" s="191">
        <f t="shared" si="32"/>
        <v>59.180035650623886</v>
      </c>
      <c r="M285" s="188">
        <f t="shared" si="33"/>
        <v>0.42530087774862002</v>
      </c>
      <c r="N285" s="189">
        <f t="shared" si="34"/>
        <v>0.27413995308835026</v>
      </c>
    </row>
    <row r="286" spans="1:14" hidden="1" outlineLevel="1">
      <c r="A286" s="180"/>
      <c r="B286" s="190" t="s">
        <v>892</v>
      </c>
      <c r="C286" s="186">
        <f t="shared" si="28"/>
        <v>-2.2508038585209005</v>
      </c>
      <c r="E286" s="182">
        <v>17</v>
      </c>
      <c r="F286" s="183">
        <v>41</v>
      </c>
      <c r="G286" s="191">
        <f t="shared" si="29"/>
        <v>-58.536585365853654</v>
      </c>
      <c r="H286" s="188">
        <f t="shared" si="30"/>
        <v>6.0422960725075525E-2</v>
      </c>
      <c r="I286" s="188">
        <f t="shared" si="31"/>
        <v>0.18595791001451378</v>
      </c>
      <c r="J286" s="182">
        <v>304</v>
      </c>
      <c r="K286" s="183">
        <v>311</v>
      </c>
      <c r="L286" s="191">
        <f t="shared" si="32"/>
        <v>-2.2508038585209005</v>
      </c>
      <c r="M286" s="188">
        <f t="shared" si="33"/>
        <v>0.1447832775314451</v>
      </c>
      <c r="N286" s="189">
        <f t="shared" si="34"/>
        <v>0.15197419859265052</v>
      </c>
    </row>
    <row r="287" spans="1:14" hidden="1" outlineLevel="1">
      <c r="A287" s="180"/>
      <c r="B287" s="190" t="s">
        <v>890</v>
      </c>
      <c r="C287" s="186">
        <f t="shared" si="28"/>
        <v>-55.57324840764332</v>
      </c>
      <c r="E287" s="182">
        <v>39</v>
      </c>
      <c r="F287" s="183">
        <v>43</v>
      </c>
      <c r="G287" s="191">
        <f t="shared" si="29"/>
        <v>-9.3023255813953494</v>
      </c>
      <c r="H287" s="188">
        <f t="shared" si="30"/>
        <v>0.13861738048693797</v>
      </c>
      <c r="I287" s="188">
        <f t="shared" si="31"/>
        <v>0.19502902757619739</v>
      </c>
      <c r="J287" s="182">
        <v>279</v>
      </c>
      <c r="K287" s="183">
        <v>628</v>
      </c>
      <c r="L287" s="191">
        <f t="shared" si="32"/>
        <v>-55.57324840764332</v>
      </c>
      <c r="M287" s="188">
        <f t="shared" si="33"/>
        <v>0.13287675799760917</v>
      </c>
      <c r="N287" s="189">
        <f t="shared" si="34"/>
        <v>0.30688037529319784</v>
      </c>
    </row>
    <row r="288" spans="1:14" hidden="1" outlineLevel="1">
      <c r="A288" s="180"/>
      <c r="B288" s="190" t="s">
        <v>893</v>
      </c>
      <c r="C288" s="186">
        <f t="shared" si="28"/>
        <v>-30.902777777777779</v>
      </c>
      <c r="E288" s="182">
        <v>10</v>
      </c>
      <c r="F288" s="183">
        <v>25</v>
      </c>
      <c r="G288" s="191">
        <f t="shared" si="29"/>
        <v>-60</v>
      </c>
      <c r="H288" s="188">
        <f t="shared" si="30"/>
        <v>3.5542918073573841E-2</v>
      </c>
      <c r="I288" s="188">
        <f t="shared" si="31"/>
        <v>0.11338896952104499</v>
      </c>
      <c r="J288" s="182">
        <v>199</v>
      </c>
      <c r="K288" s="183">
        <v>288</v>
      </c>
      <c r="L288" s="191">
        <f t="shared" si="32"/>
        <v>-30.902777777777779</v>
      </c>
      <c r="M288" s="188">
        <f t="shared" si="33"/>
        <v>9.4775895489334142E-2</v>
      </c>
      <c r="N288" s="189">
        <f t="shared" si="34"/>
        <v>0.14073494917904611</v>
      </c>
    </row>
    <row r="289" spans="1:14" hidden="1" outlineLevel="1">
      <c r="A289" s="180"/>
      <c r="B289" s="190" t="s">
        <v>889</v>
      </c>
      <c r="C289" s="186">
        <f t="shared" si="28"/>
        <v>-92.190305206463194</v>
      </c>
      <c r="E289" s="182">
        <v>1</v>
      </c>
      <c r="F289" s="183">
        <v>166</v>
      </c>
      <c r="G289" s="191">
        <f t="shared" si="29"/>
        <v>-99.397590361445793</v>
      </c>
      <c r="H289" s="188">
        <f t="shared" si="30"/>
        <v>3.5542918073573843E-3</v>
      </c>
      <c r="I289" s="188">
        <f t="shared" si="31"/>
        <v>0.75290275761973868</v>
      </c>
      <c r="J289" s="182">
        <v>87</v>
      </c>
      <c r="K289" s="183">
        <v>1114</v>
      </c>
      <c r="L289" s="191">
        <f t="shared" si="32"/>
        <v>-92.190305206463194</v>
      </c>
      <c r="M289" s="188">
        <f t="shared" si="33"/>
        <v>4.1434687977749095E-2</v>
      </c>
      <c r="N289" s="189">
        <f t="shared" si="34"/>
        <v>0.54437060203283816</v>
      </c>
    </row>
    <row r="290" spans="1:14" hidden="1" outlineLevel="1">
      <c r="A290" s="180"/>
      <c r="B290" s="190" t="s">
        <v>894</v>
      </c>
      <c r="C290" s="186">
        <f t="shared" si="28"/>
        <v>11.594202898550725</v>
      </c>
      <c r="E290" s="182">
        <v>19</v>
      </c>
      <c r="F290" s="183">
        <v>2</v>
      </c>
      <c r="G290" s="191">
        <f t="shared" si="29"/>
        <v>850</v>
      </c>
      <c r="H290" s="188">
        <f t="shared" si="30"/>
        <v>6.7531544339790292E-2</v>
      </c>
      <c r="I290" s="188">
        <f t="shared" si="31"/>
        <v>9.071117561683599E-3</v>
      </c>
      <c r="J290" s="182">
        <v>77</v>
      </c>
      <c r="K290" s="183">
        <v>69</v>
      </c>
      <c r="L290" s="191">
        <f t="shared" si="32"/>
        <v>11.594202898550725</v>
      </c>
      <c r="M290" s="188">
        <f t="shared" si="33"/>
        <v>3.6672080164214714E-2</v>
      </c>
      <c r="N290" s="189">
        <f t="shared" si="34"/>
        <v>3.3717748240813139E-2</v>
      </c>
    </row>
    <row r="291" spans="1:14" hidden="1" outlineLevel="1">
      <c r="A291" s="180"/>
      <c r="B291" s="190" t="s">
        <v>888</v>
      </c>
      <c r="C291" s="186">
        <f t="shared" si="28"/>
        <v>-92.805755395683448</v>
      </c>
      <c r="E291" s="182">
        <v>1</v>
      </c>
      <c r="F291" s="183">
        <v>154</v>
      </c>
      <c r="G291" s="191">
        <f t="shared" si="29"/>
        <v>-99.350649350649363</v>
      </c>
      <c r="H291" s="188">
        <f t="shared" si="30"/>
        <v>3.5542918073573843E-3</v>
      </c>
      <c r="I291" s="188">
        <f t="shared" si="31"/>
        <v>0.69847605224963716</v>
      </c>
      <c r="J291" s="182">
        <v>70</v>
      </c>
      <c r="K291" s="183">
        <v>973</v>
      </c>
      <c r="L291" s="191">
        <f t="shared" si="32"/>
        <v>-92.805755395683448</v>
      </c>
      <c r="M291" s="188">
        <f t="shared" si="33"/>
        <v>3.3338254694740652E-2</v>
      </c>
      <c r="N291" s="189">
        <f t="shared" si="34"/>
        <v>0.47546911649726348</v>
      </c>
    </row>
    <row r="292" spans="1:14" collapsed="1">
      <c r="A292" s="180" t="s">
        <v>1254</v>
      </c>
      <c r="B292" s="179" t="s">
        <v>275</v>
      </c>
      <c r="C292" s="186">
        <f t="shared" si="28"/>
        <v>135.98014888337468</v>
      </c>
      <c r="E292" s="182">
        <v>315</v>
      </c>
      <c r="F292" s="183">
        <v>101</v>
      </c>
      <c r="G292" s="191">
        <f t="shared" si="29"/>
        <v>211.88118811881191</v>
      </c>
      <c r="H292" s="188">
        <f t="shared" si="30"/>
        <v>1.1196019193175759</v>
      </c>
      <c r="I292" s="188">
        <f t="shared" si="31"/>
        <v>0.45809143686502174</v>
      </c>
      <c r="J292" s="182">
        <v>1902</v>
      </c>
      <c r="K292" s="183">
        <v>806</v>
      </c>
      <c r="L292" s="191">
        <f t="shared" si="32"/>
        <v>135.98014888337468</v>
      </c>
      <c r="M292" s="188">
        <f t="shared" si="33"/>
        <v>0.90584800613423888</v>
      </c>
      <c r="N292" s="189">
        <f t="shared" si="34"/>
        <v>0.39386239249413602</v>
      </c>
    </row>
    <row r="293" spans="1:14" hidden="1" outlineLevel="1">
      <c r="A293" s="180"/>
      <c r="B293" s="190" t="s">
        <v>949</v>
      </c>
      <c r="C293" s="186">
        <f t="shared" si="28"/>
        <v>142.04851752021563</v>
      </c>
      <c r="E293" s="182">
        <v>190</v>
      </c>
      <c r="F293" s="183">
        <v>42</v>
      </c>
      <c r="G293" s="191">
        <f t="shared" si="29"/>
        <v>352.38095238095235</v>
      </c>
      <c r="H293" s="188">
        <f t="shared" si="30"/>
        <v>0.67531544339790295</v>
      </c>
      <c r="I293" s="188">
        <f t="shared" si="31"/>
        <v>0.19049346879535559</v>
      </c>
      <c r="J293" s="182">
        <v>898</v>
      </c>
      <c r="K293" s="183">
        <v>371</v>
      </c>
      <c r="L293" s="191">
        <f t="shared" si="32"/>
        <v>142.04851752021563</v>
      </c>
      <c r="M293" s="188">
        <f t="shared" si="33"/>
        <v>0.42768218165538724</v>
      </c>
      <c r="N293" s="189">
        <f t="shared" si="34"/>
        <v>0.18129397967161845</v>
      </c>
    </row>
    <row r="294" spans="1:14" hidden="1" outlineLevel="1">
      <c r="A294" s="180"/>
      <c r="B294" s="190" t="s">
        <v>1195</v>
      </c>
      <c r="C294" s="186">
        <f t="shared" si="28"/>
        <v>355.68181818181819</v>
      </c>
      <c r="E294" s="182">
        <v>54</v>
      </c>
      <c r="F294" s="183">
        <v>10</v>
      </c>
      <c r="G294" s="191">
        <f t="shared" si="29"/>
        <v>440.00000000000006</v>
      </c>
      <c r="H294" s="188">
        <f t="shared" si="30"/>
        <v>0.19193175759729875</v>
      </c>
      <c r="I294" s="188">
        <f t="shared" si="31"/>
        <v>4.5355587808417995E-2</v>
      </c>
      <c r="J294" s="182">
        <v>401</v>
      </c>
      <c r="K294" s="183">
        <v>88</v>
      </c>
      <c r="L294" s="191">
        <f t="shared" si="32"/>
        <v>355.68181818181819</v>
      </c>
      <c r="M294" s="188">
        <f t="shared" si="33"/>
        <v>0.19098057332272858</v>
      </c>
      <c r="N294" s="189">
        <f t="shared" si="34"/>
        <v>4.300234558248632E-2</v>
      </c>
    </row>
    <row r="295" spans="1:14" hidden="1" outlineLevel="1">
      <c r="A295" s="180"/>
      <c r="B295" s="190" t="s">
        <v>951</v>
      </c>
      <c r="C295" s="186">
        <f t="shared" si="28"/>
        <v>153.39805825242718</v>
      </c>
      <c r="E295" s="182">
        <v>31</v>
      </c>
      <c r="F295" s="183">
        <v>15</v>
      </c>
      <c r="G295" s="191">
        <f t="shared" si="29"/>
        <v>106.66666666666667</v>
      </c>
      <c r="H295" s="188">
        <f t="shared" si="30"/>
        <v>0.11018304602807891</v>
      </c>
      <c r="I295" s="188">
        <f t="shared" si="31"/>
        <v>6.8033381712626989E-2</v>
      </c>
      <c r="J295" s="182">
        <v>261</v>
      </c>
      <c r="K295" s="183">
        <v>103</v>
      </c>
      <c r="L295" s="191">
        <f t="shared" si="32"/>
        <v>153.39805825242718</v>
      </c>
      <c r="M295" s="188">
        <f t="shared" si="33"/>
        <v>0.12430406393324729</v>
      </c>
      <c r="N295" s="189">
        <f t="shared" si="34"/>
        <v>5.0332290852228304E-2</v>
      </c>
    </row>
    <row r="296" spans="1:14" hidden="1" outlineLevel="1">
      <c r="A296" s="180"/>
      <c r="B296" s="190" t="s">
        <v>1029</v>
      </c>
      <c r="C296" s="186">
        <f t="shared" si="28"/>
        <v>43.888888888888886</v>
      </c>
      <c r="E296" s="182">
        <v>32</v>
      </c>
      <c r="F296" s="183">
        <v>30</v>
      </c>
      <c r="G296" s="191">
        <f t="shared" si="29"/>
        <v>6.666666666666667</v>
      </c>
      <c r="H296" s="188">
        <f t="shared" si="30"/>
        <v>0.1137373378354363</v>
      </c>
      <c r="I296" s="188">
        <f t="shared" si="31"/>
        <v>0.13606676342525398</v>
      </c>
      <c r="J296" s="182">
        <v>259</v>
      </c>
      <c r="K296" s="183">
        <v>180</v>
      </c>
      <c r="L296" s="191">
        <f t="shared" si="32"/>
        <v>43.888888888888886</v>
      </c>
      <c r="M296" s="188">
        <f t="shared" si="33"/>
        <v>0.12335154237054043</v>
      </c>
      <c r="N296" s="189">
        <f t="shared" si="34"/>
        <v>8.7959343236903825E-2</v>
      </c>
    </row>
    <row r="297" spans="1:14" hidden="1" outlineLevel="1">
      <c r="A297" s="180"/>
      <c r="B297" s="190" t="s">
        <v>1168</v>
      </c>
      <c r="C297" s="186" t="str">
        <f t="shared" si="28"/>
        <v/>
      </c>
      <c r="E297" s="182">
        <v>4</v>
      </c>
      <c r="F297" s="183">
        <v>0</v>
      </c>
      <c r="G297" s="191" t="str">
        <f t="shared" si="29"/>
        <v/>
      </c>
      <c r="H297" s="188">
        <f t="shared" si="30"/>
        <v>1.4217167229429537E-2</v>
      </c>
      <c r="I297" s="188" t="str">
        <f t="shared" si="31"/>
        <v/>
      </c>
      <c r="J297" s="182">
        <v>62</v>
      </c>
      <c r="K297" s="183">
        <v>0</v>
      </c>
      <c r="L297" s="191" t="str">
        <f t="shared" si="32"/>
        <v/>
      </c>
      <c r="M297" s="188">
        <f t="shared" si="33"/>
        <v>2.952816844391315E-2</v>
      </c>
      <c r="N297" s="189" t="str">
        <f t="shared" si="34"/>
        <v/>
      </c>
    </row>
    <row r="298" spans="1:14" hidden="1" outlineLevel="1">
      <c r="A298" s="180"/>
      <c r="B298" s="190" t="s">
        <v>951</v>
      </c>
      <c r="C298" s="186" t="str">
        <f t="shared" si="28"/>
        <v/>
      </c>
      <c r="E298" s="182">
        <v>3</v>
      </c>
      <c r="F298" s="183">
        <v>0</v>
      </c>
      <c r="G298" s="191" t="str">
        <f t="shared" si="29"/>
        <v/>
      </c>
      <c r="H298" s="188">
        <f t="shared" si="30"/>
        <v>1.0662875422072152E-2</v>
      </c>
      <c r="I298" s="188" t="str">
        <f t="shared" si="31"/>
        <v/>
      </c>
      <c r="J298" s="182">
        <v>11</v>
      </c>
      <c r="K298" s="183">
        <v>0</v>
      </c>
      <c r="L298" s="191" t="str">
        <f t="shared" si="32"/>
        <v/>
      </c>
      <c r="M298" s="188">
        <f t="shared" si="33"/>
        <v>5.2388685948878168E-3</v>
      </c>
      <c r="N298" s="189" t="str">
        <f t="shared" si="34"/>
        <v/>
      </c>
    </row>
    <row r="299" spans="1:14" hidden="1" outlineLevel="1">
      <c r="A299" s="180"/>
      <c r="B299" s="190" t="s">
        <v>1196</v>
      </c>
      <c r="C299" s="186">
        <f t="shared" si="28"/>
        <v>250</v>
      </c>
      <c r="E299" s="182">
        <v>1</v>
      </c>
      <c r="F299" s="183">
        <v>0</v>
      </c>
      <c r="G299" s="191" t="str">
        <f t="shared" si="29"/>
        <v/>
      </c>
      <c r="H299" s="188">
        <f t="shared" si="30"/>
        <v>3.5542918073573843E-3</v>
      </c>
      <c r="I299" s="188" t="str">
        <f t="shared" si="31"/>
        <v/>
      </c>
      <c r="J299" s="182">
        <v>7</v>
      </c>
      <c r="K299" s="183">
        <v>2</v>
      </c>
      <c r="L299" s="191">
        <f t="shared" si="32"/>
        <v>250</v>
      </c>
      <c r="M299" s="188">
        <f t="shared" si="33"/>
        <v>3.333825469474065E-3</v>
      </c>
      <c r="N299" s="189">
        <f t="shared" si="34"/>
        <v>9.7732603596559805E-4</v>
      </c>
    </row>
    <row r="300" spans="1:14" hidden="1" outlineLevel="1">
      <c r="A300" s="180"/>
      <c r="B300" s="190" t="s">
        <v>1197</v>
      </c>
      <c r="C300" s="186" t="str">
        <f t="shared" si="28"/>
        <v/>
      </c>
      <c r="E300" s="182">
        <v>0</v>
      </c>
      <c r="F300" s="183">
        <v>0</v>
      </c>
      <c r="G300" s="191" t="str">
        <f t="shared" si="29"/>
        <v/>
      </c>
      <c r="H300" s="188" t="str">
        <f t="shared" si="30"/>
        <v/>
      </c>
      <c r="I300" s="188" t="str">
        <f t="shared" si="31"/>
        <v/>
      </c>
      <c r="J300" s="182">
        <v>2</v>
      </c>
      <c r="K300" s="183">
        <v>0</v>
      </c>
      <c r="L300" s="191" t="str">
        <f t="shared" si="32"/>
        <v/>
      </c>
      <c r="M300" s="188">
        <f t="shared" si="33"/>
        <v>9.5252156270687579E-4</v>
      </c>
      <c r="N300" s="189" t="str">
        <f t="shared" si="34"/>
        <v/>
      </c>
    </row>
    <row r="301" spans="1:14" hidden="1" outlineLevel="1">
      <c r="A301" s="180"/>
      <c r="B301" s="190" t="s">
        <v>1198</v>
      </c>
      <c r="C301" s="186">
        <f t="shared" si="28"/>
        <v>-50</v>
      </c>
      <c r="E301" s="182">
        <v>0</v>
      </c>
      <c r="F301" s="183">
        <v>1</v>
      </c>
      <c r="G301" s="191">
        <f t="shared" si="29"/>
        <v>-100</v>
      </c>
      <c r="H301" s="188" t="str">
        <f t="shared" si="30"/>
        <v/>
      </c>
      <c r="I301" s="188">
        <f t="shared" si="31"/>
        <v>4.5355587808417995E-3</v>
      </c>
      <c r="J301" s="182">
        <v>1</v>
      </c>
      <c r="K301" s="183">
        <v>2</v>
      </c>
      <c r="L301" s="191">
        <f t="shared" si="32"/>
        <v>-50</v>
      </c>
      <c r="M301" s="188">
        <f t="shared" si="33"/>
        <v>4.7626078135343789E-4</v>
      </c>
      <c r="N301" s="189">
        <f t="shared" si="34"/>
        <v>9.7732603596559805E-4</v>
      </c>
    </row>
    <row r="302" spans="1:14" hidden="1" outlineLevel="1">
      <c r="A302" s="180"/>
      <c r="B302" s="190" t="s">
        <v>950</v>
      </c>
      <c r="C302" s="186">
        <f t="shared" si="28"/>
        <v>-100</v>
      </c>
      <c r="E302" s="182">
        <v>0</v>
      </c>
      <c r="F302" s="183">
        <v>3</v>
      </c>
      <c r="G302" s="191">
        <f t="shared" si="29"/>
        <v>-100</v>
      </c>
      <c r="H302" s="188" t="str">
        <f t="shared" si="30"/>
        <v/>
      </c>
      <c r="I302" s="188">
        <f t="shared" si="31"/>
        <v>1.3606676342525399E-2</v>
      </c>
      <c r="J302" s="182">
        <v>0</v>
      </c>
      <c r="K302" s="183">
        <v>60</v>
      </c>
      <c r="L302" s="191">
        <f t="shared" si="32"/>
        <v>-100</v>
      </c>
      <c r="M302" s="188" t="str">
        <f t="shared" si="33"/>
        <v/>
      </c>
      <c r="N302" s="189">
        <f t="shared" si="34"/>
        <v>2.9319781078967946E-2</v>
      </c>
    </row>
    <row r="303" spans="1:14" collapsed="1">
      <c r="A303" s="180" t="s">
        <v>1255</v>
      </c>
      <c r="B303" s="179" t="s">
        <v>265</v>
      </c>
      <c r="C303" s="186">
        <f t="shared" si="28"/>
        <v>-27.24306688417618</v>
      </c>
      <c r="E303" s="182">
        <v>217</v>
      </c>
      <c r="F303" s="183">
        <v>260</v>
      </c>
      <c r="G303" s="191">
        <f t="shared" si="29"/>
        <v>-16.538461538461537</v>
      </c>
      <c r="H303" s="188">
        <f t="shared" si="30"/>
        <v>0.77128132219655232</v>
      </c>
      <c r="I303" s="188">
        <f t="shared" si="31"/>
        <v>1.179245283018868</v>
      </c>
      <c r="J303" s="182">
        <v>1784</v>
      </c>
      <c r="K303" s="183">
        <v>2452</v>
      </c>
      <c r="L303" s="191">
        <f t="shared" si="32"/>
        <v>-27.24306688417618</v>
      </c>
      <c r="M303" s="188">
        <f t="shared" si="33"/>
        <v>0.84964923393453329</v>
      </c>
      <c r="N303" s="189">
        <f t="shared" si="34"/>
        <v>1.1982017200938233</v>
      </c>
    </row>
    <row r="304" spans="1:14" hidden="1" outlineLevel="1">
      <c r="A304" s="180"/>
      <c r="B304" s="190" t="s">
        <v>912</v>
      </c>
      <c r="C304" s="186">
        <f t="shared" si="28"/>
        <v>-31.493317838466005</v>
      </c>
      <c r="E304" s="182">
        <v>84</v>
      </c>
      <c r="F304" s="183">
        <v>135</v>
      </c>
      <c r="G304" s="191">
        <f t="shared" si="29"/>
        <v>-37.777777777777779</v>
      </c>
      <c r="H304" s="188">
        <f t="shared" si="30"/>
        <v>0.29856051181802029</v>
      </c>
      <c r="I304" s="188">
        <f t="shared" si="31"/>
        <v>0.61230043541364298</v>
      </c>
      <c r="J304" s="182">
        <v>1179</v>
      </c>
      <c r="K304" s="183">
        <v>1721</v>
      </c>
      <c r="L304" s="191">
        <f t="shared" si="32"/>
        <v>-31.493317838466005</v>
      </c>
      <c r="M304" s="188">
        <f t="shared" si="33"/>
        <v>0.56151146121570328</v>
      </c>
      <c r="N304" s="189">
        <f t="shared" si="34"/>
        <v>0.84098905394839707</v>
      </c>
    </row>
    <row r="305" spans="1:14" hidden="1" outlineLevel="1">
      <c r="A305" s="180"/>
      <c r="B305" s="190" t="s">
        <v>913</v>
      </c>
      <c r="C305" s="186">
        <f t="shared" si="28"/>
        <v>337.64705882352939</v>
      </c>
      <c r="E305" s="182">
        <v>79</v>
      </c>
      <c r="F305" s="183">
        <v>5</v>
      </c>
      <c r="G305" s="191">
        <f t="shared" si="29"/>
        <v>1480</v>
      </c>
      <c r="H305" s="188">
        <f t="shared" si="30"/>
        <v>0.28078905278123334</v>
      </c>
      <c r="I305" s="188">
        <f t="shared" si="31"/>
        <v>2.2677793904208998E-2</v>
      </c>
      <c r="J305" s="182">
        <v>372</v>
      </c>
      <c r="K305" s="183">
        <v>85</v>
      </c>
      <c r="L305" s="191">
        <f t="shared" si="32"/>
        <v>337.64705882352939</v>
      </c>
      <c r="M305" s="188">
        <f t="shared" si="33"/>
        <v>0.1771690106634789</v>
      </c>
      <c r="N305" s="189">
        <f t="shared" si="34"/>
        <v>4.1536356528537918E-2</v>
      </c>
    </row>
    <row r="306" spans="1:14" hidden="1" outlineLevel="1">
      <c r="A306" s="180"/>
      <c r="B306" s="190">
        <v>500</v>
      </c>
      <c r="C306" s="186">
        <f t="shared" si="28"/>
        <v>-63.317384370015951</v>
      </c>
      <c r="E306" s="182">
        <v>54</v>
      </c>
      <c r="F306" s="183">
        <v>116</v>
      </c>
      <c r="G306" s="191">
        <f t="shared" si="29"/>
        <v>-53.448275862068961</v>
      </c>
      <c r="H306" s="188">
        <f t="shared" si="30"/>
        <v>0.19193175759729875</v>
      </c>
      <c r="I306" s="188">
        <f t="shared" si="31"/>
        <v>0.52612481857764881</v>
      </c>
      <c r="J306" s="182">
        <v>230</v>
      </c>
      <c r="K306" s="183">
        <v>627</v>
      </c>
      <c r="L306" s="191">
        <f t="shared" si="32"/>
        <v>-63.317384370015951</v>
      </c>
      <c r="M306" s="188">
        <f t="shared" si="33"/>
        <v>0.1095399797112907</v>
      </c>
      <c r="N306" s="189">
        <f t="shared" si="34"/>
        <v>0.306391712275215</v>
      </c>
    </row>
    <row r="307" spans="1:14" hidden="1" outlineLevel="1">
      <c r="A307" s="180"/>
      <c r="B307" s="190" t="s">
        <v>914</v>
      </c>
      <c r="C307" s="186">
        <f t="shared" si="28"/>
        <v>-83.333333333333343</v>
      </c>
      <c r="E307" s="182">
        <v>0</v>
      </c>
      <c r="F307" s="183">
        <v>4</v>
      </c>
      <c r="G307" s="191">
        <f t="shared" si="29"/>
        <v>-100</v>
      </c>
      <c r="H307" s="188" t="str">
        <f t="shared" si="30"/>
        <v/>
      </c>
      <c r="I307" s="188">
        <f t="shared" si="31"/>
        <v>1.8142235123367198E-2</v>
      </c>
      <c r="J307" s="182">
        <v>3</v>
      </c>
      <c r="K307" s="183">
        <v>18</v>
      </c>
      <c r="L307" s="191">
        <f t="shared" si="32"/>
        <v>-83.333333333333343</v>
      </c>
      <c r="M307" s="188">
        <f t="shared" si="33"/>
        <v>1.4287823440603136E-3</v>
      </c>
      <c r="N307" s="189">
        <f t="shared" si="34"/>
        <v>8.7959343236903818E-3</v>
      </c>
    </row>
    <row r="308" spans="1:14" hidden="1" outlineLevel="1">
      <c r="A308" s="180"/>
      <c r="B308" s="190" t="s">
        <v>1194</v>
      </c>
      <c r="C308" s="186">
        <f t="shared" si="28"/>
        <v>-100</v>
      </c>
      <c r="E308" s="182">
        <v>0</v>
      </c>
      <c r="F308" s="183">
        <v>0</v>
      </c>
      <c r="G308" s="191" t="str">
        <f t="shared" si="29"/>
        <v/>
      </c>
      <c r="H308" s="188" t="str">
        <f t="shared" si="30"/>
        <v/>
      </c>
      <c r="I308" s="188" t="str">
        <f t="shared" si="31"/>
        <v/>
      </c>
      <c r="J308" s="182">
        <v>0</v>
      </c>
      <c r="K308" s="183">
        <v>1</v>
      </c>
      <c r="L308" s="191">
        <f t="shared" si="32"/>
        <v>-100</v>
      </c>
      <c r="M308" s="188" t="str">
        <f t="shared" si="33"/>
        <v/>
      </c>
      <c r="N308" s="189">
        <f t="shared" si="34"/>
        <v>4.8866301798279903E-4</v>
      </c>
    </row>
    <row r="309" spans="1:14" collapsed="1">
      <c r="A309" s="180" t="s">
        <v>1256</v>
      </c>
      <c r="B309" s="179" t="s">
        <v>279</v>
      </c>
      <c r="C309" s="186">
        <f t="shared" si="28"/>
        <v>-28.817616084250837</v>
      </c>
      <c r="E309" s="182">
        <v>156</v>
      </c>
      <c r="F309" s="183">
        <v>211</v>
      </c>
      <c r="G309" s="191">
        <f t="shared" si="29"/>
        <v>-26.066350710900476</v>
      </c>
      <c r="H309" s="188">
        <f t="shared" si="30"/>
        <v>0.5544695219477519</v>
      </c>
      <c r="I309" s="188">
        <f t="shared" si="31"/>
        <v>0.95700290275761968</v>
      </c>
      <c r="J309" s="182">
        <v>1487</v>
      </c>
      <c r="K309" s="183">
        <v>2089</v>
      </c>
      <c r="L309" s="191">
        <f t="shared" si="32"/>
        <v>-28.817616084250837</v>
      </c>
      <c r="M309" s="188">
        <f t="shared" si="33"/>
        <v>0.70819978187256216</v>
      </c>
      <c r="N309" s="189">
        <f t="shared" si="34"/>
        <v>1.0208170445660671</v>
      </c>
    </row>
    <row r="310" spans="1:14" hidden="1" outlineLevel="1">
      <c r="A310" s="180"/>
      <c r="B310" s="190" t="s">
        <v>922</v>
      </c>
      <c r="C310" s="186">
        <f t="shared" si="28"/>
        <v>-18.581081081081081</v>
      </c>
      <c r="E310" s="182">
        <v>109</v>
      </c>
      <c r="F310" s="183">
        <v>155</v>
      </c>
      <c r="G310" s="191">
        <f t="shared" si="29"/>
        <v>-29.677419354838708</v>
      </c>
      <c r="H310" s="188">
        <f t="shared" si="30"/>
        <v>0.38741780700195488</v>
      </c>
      <c r="I310" s="188">
        <f t="shared" si="31"/>
        <v>0.70301161103047904</v>
      </c>
      <c r="J310" s="182">
        <v>1205</v>
      </c>
      <c r="K310" s="183">
        <v>1480</v>
      </c>
      <c r="L310" s="191">
        <f t="shared" si="32"/>
        <v>-18.581081081081081</v>
      </c>
      <c r="M310" s="188">
        <f t="shared" si="33"/>
        <v>0.57389424153089263</v>
      </c>
      <c r="N310" s="189">
        <f t="shared" si="34"/>
        <v>0.72322126661454267</v>
      </c>
    </row>
    <row r="311" spans="1:14" hidden="1" outlineLevel="1">
      <c r="A311" s="180"/>
      <c r="B311" s="190" t="s">
        <v>923</v>
      </c>
      <c r="C311" s="186">
        <f t="shared" si="28"/>
        <v>-45.14038876889849</v>
      </c>
      <c r="E311" s="182">
        <v>33</v>
      </c>
      <c r="F311" s="183">
        <v>47</v>
      </c>
      <c r="G311" s="191">
        <f t="shared" si="29"/>
        <v>-29.787234042553191</v>
      </c>
      <c r="H311" s="188">
        <f t="shared" si="30"/>
        <v>0.11729162964279366</v>
      </c>
      <c r="I311" s="188">
        <f t="shared" si="31"/>
        <v>0.2131712626995646</v>
      </c>
      <c r="J311" s="182">
        <v>254</v>
      </c>
      <c r="K311" s="183">
        <v>463</v>
      </c>
      <c r="L311" s="191">
        <f t="shared" si="32"/>
        <v>-45.14038876889849</v>
      </c>
      <c r="M311" s="188">
        <f t="shared" si="33"/>
        <v>0.12097023846377322</v>
      </c>
      <c r="N311" s="189">
        <f t="shared" si="34"/>
        <v>0.22625097732603597</v>
      </c>
    </row>
    <row r="312" spans="1:14" hidden="1" outlineLevel="1">
      <c r="A312" s="180"/>
      <c r="B312" s="190" t="s">
        <v>924</v>
      </c>
      <c r="C312" s="186">
        <f t="shared" si="28"/>
        <v>-80.821917808219183</v>
      </c>
      <c r="E312" s="182">
        <v>14</v>
      </c>
      <c r="F312" s="183">
        <v>9</v>
      </c>
      <c r="G312" s="191">
        <f t="shared" si="29"/>
        <v>55.555555555555557</v>
      </c>
      <c r="H312" s="188">
        <f t="shared" si="30"/>
        <v>4.9760085303003368E-2</v>
      </c>
      <c r="I312" s="188">
        <f t="shared" si="31"/>
        <v>4.0820029027576199E-2</v>
      </c>
      <c r="J312" s="182">
        <v>28</v>
      </c>
      <c r="K312" s="183">
        <v>146</v>
      </c>
      <c r="L312" s="191">
        <f t="shared" si="32"/>
        <v>-80.821917808219183</v>
      </c>
      <c r="M312" s="188">
        <f t="shared" si="33"/>
        <v>1.333530187789626E-2</v>
      </c>
      <c r="N312" s="189">
        <f t="shared" si="34"/>
        <v>7.1344800625488675E-2</v>
      </c>
    </row>
    <row r="313" spans="1:14" collapsed="1">
      <c r="A313" s="180" t="s">
        <v>1257</v>
      </c>
      <c r="B313" s="179" t="s">
        <v>925</v>
      </c>
      <c r="C313" s="186">
        <f t="shared" si="28"/>
        <v>-18.836045056320401</v>
      </c>
      <c r="E313" s="182">
        <v>54</v>
      </c>
      <c r="F313" s="183">
        <v>219</v>
      </c>
      <c r="G313" s="191">
        <f t="shared" si="29"/>
        <v>-75.342465753424662</v>
      </c>
      <c r="H313" s="188">
        <f t="shared" si="30"/>
        <v>0.19193175759729875</v>
      </c>
      <c r="I313" s="188">
        <f t="shared" si="31"/>
        <v>0.9932873730043541</v>
      </c>
      <c r="J313" s="182">
        <v>1297</v>
      </c>
      <c r="K313" s="183">
        <v>1598</v>
      </c>
      <c r="L313" s="191">
        <f t="shared" si="32"/>
        <v>-18.836045056320401</v>
      </c>
      <c r="M313" s="188">
        <f t="shared" si="33"/>
        <v>0.61771023341540887</v>
      </c>
      <c r="N313" s="189">
        <f t="shared" si="34"/>
        <v>0.78088350273651297</v>
      </c>
    </row>
    <row r="314" spans="1:14" hidden="1" outlineLevel="1">
      <c r="A314" s="180"/>
      <c r="B314" s="190" t="s">
        <v>926</v>
      </c>
      <c r="C314" s="186">
        <f t="shared" si="28"/>
        <v>-18.836045056320401</v>
      </c>
      <c r="E314" s="182">
        <v>54</v>
      </c>
      <c r="F314" s="183">
        <v>219</v>
      </c>
      <c r="G314" s="191">
        <f t="shared" si="29"/>
        <v>-75.342465753424662</v>
      </c>
      <c r="H314" s="188">
        <f t="shared" si="30"/>
        <v>0.19193175759729875</v>
      </c>
      <c r="I314" s="188">
        <f t="shared" si="31"/>
        <v>0.9932873730043541</v>
      </c>
      <c r="J314" s="182">
        <v>1297</v>
      </c>
      <c r="K314" s="183">
        <v>1598</v>
      </c>
      <c r="L314" s="191">
        <f t="shared" si="32"/>
        <v>-18.836045056320401</v>
      </c>
      <c r="M314" s="188">
        <f t="shared" si="33"/>
        <v>0.61771023341540887</v>
      </c>
      <c r="N314" s="189">
        <f t="shared" si="34"/>
        <v>0.78088350273651297</v>
      </c>
    </row>
    <row r="315" spans="1:14" collapsed="1">
      <c r="A315" s="180" t="s">
        <v>1298</v>
      </c>
      <c r="B315" s="179" t="s">
        <v>290</v>
      </c>
      <c r="C315" s="186">
        <f t="shared" si="28"/>
        <v>-32.123960695389265</v>
      </c>
      <c r="E315" s="182">
        <v>114</v>
      </c>
      <c r="F315" s="183">
        <v>136</v>
      </c>
      <c r="G315" s="191">
        <f t="shared" si="29"/>
        <v>-16.176470588235293</v>
      </c>
      <c r="H315" s="188">
        <f t="shared" si="30"/>
        <v>0.40518926603874178</v>
      </c>
      <c r="I315" s="188">
        <f t="shared" si="31"/>
        <v>0.61683599419448476</v>
      </c>
      <c r="J315" s="182">
        <v>898</v>
      </c>
      <c r="K315" s="183">
        <v>1323</v>
      </c>
      <c r="L315" s="191">
        <f t="shared" si="32"/>
        <v>-32.123960695389265</v>
      </c>
      <c r="M315" s="188">
        <f t="shared" si="33"/>
        <v>0.42768218165538724</v>
      </c>
      <c r="N315" s="189">
        <f t="shared" si="34"/>
        <v>0.64650117279124308</v>
      </c>
    </row>
    <row r="316" spans="1:14" hidden="1" outlineLevel="1">
      <c r="A316" s="180"/>
      <c r="B316" s="190" t="s">
        <v>931</v>
      </c>
      <c r="C316" s="186">
        <f t="shared" si="28"/>
        <v>-13.270142180094787</v>
      </c>
      <c r="E316" s="182">
        <v>39</v>
      </c>
      <c r="F316" s="183">
        <v>43</v>
      </c>
      <c r="G316" s="191">
        <f t="shared" si="29"/>
        <v>-9.3023255813953494</v>
      </c>
      <c r="H316" s="188">
        <f t="shared" si="30"/>
        <v>0.13861738048693797</v>
      </c>
      <c r="I316" s="188">
        <f t="shared" si="31"/>
        <v>0.19502902757619739</v>
      </c>
      <c r="J316" s="182">
        <v>366</v>
      </c>
      <c r="K316" s="183">
        <v>422</v>
      </c>
      <c r="L316" s="191">
        <f t="shared" si="32"/>
        <v>-13.270142180094787</v>
      </c>
      <c r="M316" s="188">
        <f t="shared" si="33"/>
        <v>0.17431144597535828</v>
      </c>
      <c r="N316" s="189">
        <f t="shared" si="34"/>
        <v>0.2062157935887412</v>
      </c>
    </row>
    <row r="317" spans="1:14" hidden="1" outlineLevel="1">
      <c r="A317" s="180"/>
      <c r="B317" s="190" t="s">
        <v>934</v>
      </c>
      <c r="C317" s="186">
        <f t="shared" si="28"/>
        <v>-6.0747663551401869</v>
      </c>
      <c r="E317" s="182">
        <v>28</v>
      </c>
      <c r="F317" s="183">
        <v>33</v>
      </c>
      <c r="G317" s="191">
        <f t="shared" si="29"/>
        <v>-15.151515151515152</v>
      </c>
      <c r="H317" s="188">
        <f t="shared" si="30"/>
        <v>9.9520170606006736E-2</v>
      </c>
      <c r="I317" s="188">
        <f t="shared" si="31"/>
        <v>0.14967343976777939</v>
      </c>
      <c r="J317" s="182">
        <v>201</v>
      </c>
      <c r="K317" s="183">
        <v>214</v>
      </c>
      <c r="L317" s="191">
        <f t="shared" si="32"/>
        <v>-6.0747663551401869</v>
      </c>
      <c r="M317" s="188">
        <f t="shared" si="33"/>
        <v>9.572841705204102E-2</v>
      </c>
      <c r="N317" s="189">
        <f t="shared" si="34"/>
        <v>0.104573885848319</v>
      </c>
    </row>
    <row r="318" spans="1:14" hidden="1" outlineLevel="1">
      <c r="A318" s="180"/>
      <c r="B318" s="190" t="s">
        <v>932</v>
      </c>
      <c r="C318" s="186">
        <f t="shared" si="28"/>
        <v>-55.061728395061728</v>
      </c>
      <c r="E318" s="182">
        <v>39</v>
      </c>
      <c r="F318" s="183">
        <v>40</v>
      </c>
      <c r="G318" s="191">
        <f t="shared" si="29"/>
        <v>-2.5</v>
      </c>
      <c r="H318" s="188">
        <f t="shared" si="30"/>
        <v>0.13861738048693797</v>
      </c>
      <c r="I318" s="188">
        <f t="shared" si="31"/>
        <v>0.18142235123367198</v>
      </c>
      <c r="J318" s="182">
        <v>182</v>
      </c>
      <c r="K318" s="183">
        <v>405</v>
      </c>
      <c r="L318" s="191">
        <f t="shared" si="32"/>
        <v>-55.061728395061728</v>
      </c>
      <c r="M318" s="188">
        <f t="shared" si="33"/>
        <v>8.6679462206325691E-2</v>
      </c>
      <c r="N318" s="189">
        <f t="shared" si="34"/>
        <v>0.1979085222830336</v>
      </c>
    </row>
    <row r="319" spans="1:14" hidden="1" outlineLevel="1">
      <c r="A319" s="180"/>
      <c r="B319" s="190" t="s">
        <v>933</v>
      </c>
      <c r="C319" s="186">
        <f t="shared" si="28"/>
        <v>-37.244897959183675</v>
      </c>
      <c r="E319" s="182">
        <v>6</v>
      </c>
      <c r="F319" s="183">
        <v>15</v>
      </c>
      <c r="G319" s="191">
        <f t="shared" si="29"/>
        <v>-60</v>
      </c>
      <c r="H319" s="188">
        <f t="shared" si="30"/>
        <v>2.1325750844144304E-2</v>
      </c>
      <c r="I319" s="188">
        <f t="shared" si="31"/>
        <v>6.8033381712626989E-2</v>
      </c>
      <c r="J319" s="182">
        <v>123</v>
      </c>
      <c r="K319" s="183">
        <v>196</v>
      </c>
      <c r="L319" s="191">
        <f t="shared" si="32"/>
        <v>-37.244897959183675</v>
      </c>
      <c r="M319" s="188">
        <f t="shared" si="33"/>
        <v>5.8580076106472867E-2</v>
      </c>
      <c r="N319" s="189">
        <f t="shared" si="34"/>
        <v>9.5777951524628618E-2</v>
      </c>
    </row>
    <row r="320" spans="1:14" hidden="1" outlineLevel="1">
      <c r="A320" s="180"/>
      <c r="B320" s="190" t="s">
        <v>935</v>
      </c>
      <c r="C320" s="186">
        <f t="shared" si="28"/>
        <v>-69.767441860465112</v>
      </c>
      <c r="E320" s="182">
        <v>2</v>
      </c>
      <c r="F320" s="183">
        <v>5</v>
      </c>
      <c r="G320" s="191">
        <f t="shared" si="29"/>
        <v>-60</v>
      </c>
      <c r="H320" s="188">
        <f t="shared" si="30"/>
        <v>7.1085836147147686E-3</v>
      </c>
      <c r="I320" s="188">
        <f t="shared" si="31"/>
        <v>2.2677793904208998E-2</v>
      </c>
      <c r="J320" s="182">
        <v>26</v>
      </c>
      <c r="K320" s="183">
        <v>86</v>
      </c>
      <c r="L320" s="191">
        <f t="shared" si="32"/>
        <v>-69.767441860465112</v>
      </c>
      <c r="M320" s="188">
        <f t="shared" si="33"/>
        <v>1.2382780315189386E-2</v>
      </c>
      <c r="N320" s="189">
        <f t="shared" si="34"/>
        <v>4.2025019546520714E-2</v>
      </c>
    </row>
    <row r="321" spans="1:14" collapsed="1">
      <c r="A321" s="180" t="s">
        <v>1299</v>
      </c>
      <c r="B321" s="179" t="s">
        <v>267</v>
      </c>
      <c r="C321" s="186">
        <f t="shared" si="28"/>
        <v>-34.10041841004184</v>
      </c>
      <c r="E321" s="182">
        <v>123</v>
      </c>
      <c r="F321" s="183">
        <v>130</v>
      </c>
      <c r="G321" s="191">
        <f t="shared" si="29"/>
        <v>-5.384615384615385</v>
      </c>
      <c r="H321" s="188">
        <f t="shared" si="30"/>
        <v>0.43717789230495829</v>
      </c>
      <c r="I321" s="188">
        <f t="shared" si="31"/>
        <v>0.589622641509434</v>
      </c>
      <c r="J321" s="182">
        <v>630</v>
      </c>
      <c r="K321" s="183">
        <v>956</v>
      </c>
      <c r="L321" s="191">
        <f t="shared" si="32"/>
        <v>-34.10041841004184</v>
      </c>
      <c r="M321" s="188">
        <f t="shared" si="33"/>
        <v>0.30004429225266588</v>
      </c>
      <c r="N321" s="189">
        <f t="shared" si="34"/>
        <v>0.46716184519155596</v>
      </c>
    </row>
    <row r="322" spans="1:14" hidden="1" outlineLevel="1">
      <c r="A322" s="180"/>
      <c r="B322" s="190" t="s">
        <v>945</v>
      </c>
      <c r="C322" s="186">
        <f t="shared" si="28"/>
        <v>28.491620111731841</v>
      </c>
      <c r="E322" s="182">
        <v>21</v>
      </c>
      <c r="F322" s="183">
        <v>21</v>
      </c>
      <c r="G322" s="191">
        <f t="shared" si="29"/>
        <v>0</v>
      </c>
      <c r="H322" s="188">
        <f t="shared" si="30"/>
        <v>7.4640127954505073E-2</v>
      </c>
      <c r="I322" s="188">
        <f t="shared" si="31"/>
        <v>9.5246734397677793E-2</v>
      </c>
      <c r="J322" s="182">
        <v>230</v>
      </c>
      <c r="K322" s="183">
        <v>179</v>
      </c>
      <c r="L322" s="191">
        <f t="shared" si="32"/>
        <v>28.491620111731841</v>
      </c>
      <c r="M322" s="188">
        <f t="shared" si="33"/>
        <v>0.1095399797112907</v>
      </c>
      <c r="N322" s="189">
        <f t="shared" si="34"/>
        <v>8.7470680218921029E-2</v>
      </c>
    </row>
    <row r="323" spans="1:14" hidden="1" outlineLevel="1">
      <c r="A323" s="180"/>
      <c r="B323" s="190" t="s">
        <v>944</v>
      </c>
      <c r="C323" s="186">
        <f t="shared" si="28"/>
        <v>-71.91235059760956</v>
      </c>
      <c r="E323" s="182">
        <v>32</v>
      </c>
      <c r="F323" s="183">
        <v>67</v>
      </c>
      <c r="G323" s="191">
        <f t="shared" si="29"/>
        <v>-52.238805970149251</v>
      </c>
      <c r="H323" s="188">
        <f t="shared" si="30"/>
        <v>0.1137373378354363</v>
      </c>
      <c r="I323" s="188">
        <f t="shared" si="31"/>
        <v>0.30388243831640055</v>
      </c>
      <c r="J323" s="182">
        <v>141</v>
      </c>
      <c r="K323" s="183">
        <v>502</v>
      </c>
      <c r="L323" s="191">
        <f t="shared" si="32"/>
        <v>-71.91235059760956</v>
      </c>
      <c r="M323" s="188">
        <f t="shared" si="33"/>
        <v>6.715277017083475E-2</v>
      </c>
      <c r="N323" s="189">
        <f t="shared" si="34"/>
        <v>0.24530883502736511</v>
      </c>
    </row>
    <row r="324" spans="1:14" hidden="1" outlineLevel="1">
      <c r="A324" s="180"/>
      <c r="B324" s="190" t="s">
        <v>948</v>
      </c>
      <c r="C324" s="186">
        <f t="shared" si="28"/>
        <v>63.157894736842103</v>
      </c>
      <c r="E324" s="182">
        <v>20</v>
      </c>
      <c r="F324" s="183">
        <v>21</v>
      </c>
      <c r="G324" s="191">
        <f t="shared" si="29"/>
        <v>-4.7619047619047619</v>
      </c>
      <c r="H324" s="188">
        <f t="shared" si="30"/>
        <v>7.1085836147147682E-2</v>
      </c>
      <c r="I324" s="188">
        <f t="shared" si="31"/>
        <v>9.5246734397677793E-2</v>
      </c>
      <c r="J324" s="182">
        <v>93</v>
      </c>
      <c r="K324" s="183">
        <v>57</v>
      </c>
      <c r="L324" s="191">
        <f t="shared" si="32"/>
        <v>63.157894736842103</v>
      </c>
      <c r="M324" s="188">
        <f t="shared" si="33"/>
        <v>4.4292252665869725E-2</v>
      </c>
      <c r="N324" s="189">
        <f t="shared" si="34"/>
        <v>2.7853792025019548E-2</v>
      </c>
    </row>
    <row r="325" spans="1:14" hidden="1" outlineLevel="1">
      <c r="A325" s="180"/>
      <c r="B325" s="190" t="s">
        <v>946</v>
      </c>
      <c r="C325" s="186">
        <f t="shared" si="28"/>
        <v>-42.857142857142854</v>
      </c>
      <c r="E325" s="182">
        <v>18</v>
      </c>
      <c r="F325" s="183">
        <v>21</v>
      </c>
      <c r="G325" s="191">
        <f t="shared" si="29"/>
        <v>-14.285714285714285</v>
      </c>
      <c r="H325" s="188">
        <f t="shared" si="30"/>
        <v>6.3977252532432916E-2</v>
      </c>
      <c r="I325" s="188">
        <f t="shared" si="31"/>
        <v>9.5246734397677793E-2</v>
      </c>
      <c r="J325" s="182">
        <v>76</v>
      </c>
      <c r="K325" s="183">
        <v>133</v>
      </c>
      <c r="L325" s="191">
        <f t="shared" si="32"/>
        <v>-42.857142857142854</v>
      </c>
      <c r="M325" s="188">
        <f t="shared" si="33"/>
        <v>3.6195819382861275E-2</v>
      </c>
      <c r="N325" s="189">
        <f t="shared" si="34"/>
        <v>6.499218139171227E-2</v>
      </c>
    </row>
    <row r="326" spans="1:14" hidden="1" outlineLevel="1">
      <c r="A326" s="180"/>
      <c r="B326" s="190" t="s">
        <v>1221</v>
      </c>
      <c r="C326" s="186" t="str">
        <f t="shared" si="28"/>
        <v/>
      </c>
      <c r="E326" s="182">
        <v>16</v>
      </c>
      <c r="F326" s="183">
        <v>0</v>
      </c>
      <c r="G326" s="191" t="str">
        <f t="shared" si="29"/>
        <v/>
      </c>
      <c r="H326" s="188">
        <f t="shared" si="30"/>
        <v>5.6868668917718149E-2</v>
      </c>
      <c r="I326" s="188" t="str">
        <f t="shared" si="31"/>
        <v/>
      </c>
      <c r="J326" s="182">
        <v>48</v>
      </c>
      <c r="K326" s="183">
        <v>0</v>
      </c>
      <c r="L326" s="191" t="str">
        <f t="shared" si="32"/>
        <v/>
      </c>
      <c r="M326" s="188">
        <f t="shared" si="33"/>
        <v>2.2860517504965018E-2</v>
      </c>
      <c r="N326" s="189" t="str">
        <f t="shared" si="34"/>
        <v/>
      </c>
    </row>
    <row r="327" spans="1:14" hidden="1" outlineLevel="1">
      <c r="A327" s="180"/>
      <c r="B327" s="190" t="s">
        <v>1258</v>
      </c>
      <c r="C327" s="186" t="str">
        <f t="shared" si="28"/>
        <v/>
      </c>
      <c r="E327" s="182">
        <v>16</v>
      </c>
      <c r="F327" s="183">
        <v>0</v>
      </c>
      <c r="G327" s="191" t="str">
        <f t="shared" si="29"/>
        <v/>
      </c>
      <c r="H327" s="188">
        <f t="shared" si="30"/>
        <v>5.6868668917718149E-2</v>
      </c>
      <c r="I327" s="188" t="str">
        <f t="shared" si="31"/>
        <v/>
      </c>
      <c r="J327" s="182">
        <v>28</v>
      </c>
      <c r="K327" s="183">
        <v>0</v>
      </c>
      <c r="L327" s="191" t="str">
        <f t="shared" si="32"/>
        <v/>
      </c>
      <c r="M327" s="188">
        <f t="shared" si="33"/>
        <v>1.333530187789626E-2</v>
      </c>
      <c r="N327" s="189" t="str">
        <f t="shared" si="34"/>
        <v/>
      </c>
    </row>
    <row r="328" spans="1:14" hidden="1" outlineLevel="1">
      <c r="A328" s="180"/>
      <c r="B328" s="190" t="s">
        <v>947</v>
      </c>
      <c r="C328" s="186">
        <f t="shared" si="28"/>
        <v>-83.529411764705884</v>
      </c>
      <c r="E328" s="182">
        <v>0</v>
      </c>
      <c r="F328" s="183">
        <v>0</v>
      </c>
      <c r="G328" s="191" t="str">
        <f t="shared" si="29"/>
        <v/>
      </c>
      <c r="H328" s="188" t="str">
        <f t="shared" si="30"/>
        <v/>
      </c>
      <c r="I328" s="188" t="str">
        <f t="shared" si="31"/>
        <v/>
      </c>
      <c r="J328" s="182">
        <v>14</v>
      </c>
      <c r="K328" s="183">
        <v>85</v>
      </c>
      <c r="L328" s="191">
        <f t="shared" si="32"/>
        <v>-83.529411764705884</v>
      </c>
      <c r="M328" s="188">
        <f t="shared" si="33"/>
        <v>6.66765093894813E-3</v>
      </c>
      <c r="N328" s="189">
        <f t="shared" si="34"/>
        <v>4.1536356528537918E-2</v>
      </c>
    </row>
    <row r="329" spans="1:14" collapsed="1">
      <c r="A329" s="180" t="s">
        <v>1300</v>
      </c>
      <c r="B329" s="179" t="s">
        <v>280</v>
      </c>
      <c r="C329" s="186">
        <f t="shared" si="28"/>
        <v>25.694444444444443</v>
      </c>
      <c r="E329" s="182">
        <v>13</v>
      </c>
      <c r="F329" s="183">
        <v>33</v>
      </c>
      <c r="G329" s="191">
        <f t="shared" si="29"/>
        <v>-60.606060606060609</v>
      </c>
      <c r="H329" s="188">
        <f t="shared" si="30"/>
        <v>4.6205793495645991E-2</v>
      </c>
      <c r="I329" s="188">
        <f t="shared" si="31"/>
        <v>0.14967343976777939</v>
      </c>
      <c r="J329" s="182">
        <v>543</v>
      </c>
      <c r="K329" s="183">
        <v>432</v>
      </c>
      <c r="L329" s="191">
        <f t="shared" si="32"/>
        <v>25.694444444444443</v>
      </c>
      <c r="M329" s="188">
        <f t="shared" si="33"/>
        <v>0.2586096042749168</v>
      </c>
      <c r="N329" s="189">
        <f t="shared" si="34"/>
        <v>0.21110242376856919</v>
      </c>
    </row>
    <row r="330" spans="1:14" hidden="1" outlineLevel="1">
      <c r="A330" s="180"/>
      <c r="B330" s="190" t="s">
        <v>952</v>
      </c>
      <c r="C330" s="186">
        <f t="shared" ref="C330:C393" si="35">IF(K330=0,"",SUM(((J330-K330)/K330)*100))</f>
        <v>12.393162393162394</v>
      </c>
      <c r="E330" s="182">
        <v>7</v>
      </c>
      <c r="F330" s="183">
        <v>18</v>
      </c>
      <c r="G330" s="191">
        <f t="shared" ref="G330:G393" si="36">IF(F330=0,"",SUM(((E330-F330)/F330)*100))</f>
        <v>-61.111111111111114</v>
      </c>
      <c r="H330" s="188">
        <f t="shared" ref="H330:H393" si="37">IF(E330=0,"",SUM((E330/CntPeriod)*100))</f>
        <v>2.4880042651501684E-2</v>
      </c>
      <c r="I330" s="188">
        <f t="shared" ref="I330:I393" si="38">IF(F330=0,"",SUM((F330/CntPeriodPrevYear)*100))</f>
        <v>8.1640058055152398E-2</v>
      </c>
      <c r="J330" s="182">
        <v>263</v>
      </c>
      <c r="K330" s="183">
        <v>234</v>
      </c>
      <c r="L330" s="191">
        <f t="shared" ref="L330:L393" si="39">IF(K330=0,"",SUM(((J330-K330)/K330)*100))</f>
        <v>12.393162393162394</v>
      </c>
      <c r="M330" s="188">
        <f t="shared" ref="M330:M393" si="40">IF(J330=0,"",SUM((J330/CntYearAck)*100))</f>
        <v>0.12525658549595417</v>
      </c>
      <c r="N330" s="189">
        <f t="shared" ref="N330:N393" si="41">IF(K330=0,"",SUM((K330/CntPrevYearAck)*100))</f>
        <v>0.11434714620797498</v>
      </c>
    </row>
    <row r="331" spans="1:14" hidden="1" outlineLevel="1">
      <c r="A331" s="180"/>
      <c r="B331" s="190" t="s">
        <v>953</v>
      </c>
      <c r="C331" s="186">
        <f t="shared" si="35"/>
        <v>-0.50505050505050508</v>
      </c>
      <c r="E331" s="182">
        <v>2</v>
      </c>
      <c r="F331" s="183">
        <v>15</v>
      </c>
      <c r="G331" s="191">
        <f t="shared" si="36"/>
        <v>-86.666666666666671</v>
      </c>
      <c r="H331" s="188">
        <f t="shared" si="37"/>
        <v>7.1085836147147686E-3</v>
      </c>
      <c r="I331" s="188">
        <f t="shared" si="38"/>
        <v>6.8033381712626989E-2</v>
      </c>
      <c r="J331" s="182">
        <v>197</v>
      </c>
      <c r="K331" s="183">
        <v>198</v>
      </c>
      <c r="L331" s="191">
        <f t="shared" si="39"/>
        <v>-0.50505050505050508</v>
      </c>
      <c r="M331" s="188">
        <f t="shared" si="40"/>
        <v>9.3823373926627263E-2</v>
      </c>
      <c r="N331" s="189">
        <f t="shared" si="41"/>
        <v>9.6755277560594211E-2</v>
      </c>
    </row>
    <row r="332" spans="1:14" hidden="1" outlineLevel="1">
      <c r="A332" s="180"/>
      <c r="B332" s="190" t="s">
        <v>1145</v>
      </c>
      <c r="C332" s="186" t="str">
        <f t="shared" si="35"/>
        <v/>
      </c>
      <c r="E332" s="182">
        <v>4</v>
      </c>
      <c r="F332" s="183">
        <v>0</v>
      </c>
      <c r="G332" s="191" t="str">
        <f t="shared" si="36"/>
        <v/>
      </c>
      <c r="H332" s="188">
        <f t="shared" si="37"/>
        <v>1.4217167229429537E-2</v>
      </c>
      <c r="I332" s="188" t="str">
        <f t="shared" si="38"/>
        <v/>
      </c>
      <c r="J332" s="182">
        <v>83</v>
      </c>
      <c r="K332" s="183">
        <v>0</v>
      </c>
      <c r="L332" s="191" t="str">
        <f t="shared" si="39"/>
        <v/>
      </c>
      <c r="M332" s="188">
        <f t="shared" si="40"/>
        <v>3.9529644852335344E-2</v>
      </c>
      <c r="N332" s="189" t="str">
        <f t="shared" si="41"/>
        <v/>
      </c>
    </row>
    <row r="333" spans="1:14" collapsed="1">
      <c r="A333" s="180" t="s">
        <v>1199</v>
      </c>
      <c r="B333" s="179" t="s">
        <v>296</v>
      </c>
      <c r="C333" s="186">
        <f t="shared" si="35"/>
        <v>-21.179624664879356</v>
      </c>
      <c r="E333" s="182">
        <v>27</v>
      </c>
      <c r="F333" s="183">
        <v>41</v>
      </c>
      <c r="G333" s="191">
        <f t="shared" si="36"/>
        <v>-34.146341463414636</v>
      </c>
      <c r="H333" s="188">
        <f t="shared" si="37"/>
        <v>9.5965878798649373E-2</v>
      </c>
      <c r="I333" s="188">
        <f t="shared" si="38"/>
        <v>0.18595791001451378</v>
      </c>
      <c r="J333" s="182">
        <v>294</v>
      </c>
      <c r="K333" s="183">
        <v>373</v>
      </c>
      <c r="L333" s="191">
        <f t="shared" si="39"/>
        <v>-21.179624664879356</v>
      </c>
      <c r="M333" s="188">
        <f t="shared" si="40"/>
        <v>0.14002066971791075</v>
      </c>
      <c r="N333" s="189">
        <f t="shared" si="41"/>
        <v>0.18227130570758404</v>
      </c>
    </row>
    <row r="334" spans="1:14" hidden="1" outlineLevel="1">
      <c r="A334" s="180"/>
      <c r="B334" s="190">
        <v>4</v>
      </c>
      <c r="C334" s="186">
        <f t="shared" si="35"/>
        <v>958.33333333333337</v>
      </c>
      <c r="E334" s="182">
        <v>6</v>
      </c>
      <c r="F334" s="183">
        <v>0</v>
      </c>
      <c r="G334" s="191" t="str">
        <f t="shared" si="36"/>
        <v/>
      </c>
      <c r="H334" s="188">
        <f t="shared" si="37"/>
        <v>2.1325750844144304E-2</v>
      </c>
      <c r="I334" s="188" t="str">
        <f t="shared" si="38"/>
        <v/>
      </c>
      <c r="J334" s="182">
        <v>127</v>
      </c>
      <c r="K334" s="183">
        <v>12</v>
      </c>
      <c r="L334" s="191">
        <f t="shared" si="39"/>
        <v>958.33333333333337</v>
      </c>
      <c r="M334" s="188">
        <f t="shared" si="40"/>
        <v>6.0485119231886611E-2</v>
      </c>
      <c r="N334" s="189">
        <f t="shared" si="41"/>
        <v>5.8639562157935888E-3</v>
      </c>
    </row>
    <row r="335" spans="1:14" hidden="1" outlineLevel="1">
      <c r="A335" s="180"/>
      <c r="B335" s="190">
        <v>3</v>
      </c>
      <c r="C335" s="186">
        <f t="shared" si="35"/>
        <v>-20.289855072463769</v>
      </c>
      <c r="E335" s="182">
        <v>16</v>
      </c>
      <c r="F335" s="183">
        <v>18</v>
      </c>
      <c r="G335" s="191">
        <f t="shared" si="36"/>
        <v>-11.111111111111111</v>
      </c>
      <c r="H335" s="188">
        <f t="shared" si="37"/>
        <v>5.6868668917718149E-2</v>
      </c>
      <c r="I335" s="188">
        <f t="shared" si="38"/>
        <v>8.1640058055152398E-2</v>
      </c>
      <c r="J335" s="182">
        <v>110</v>
      </c>
      <c r="K335" s="183">
        <v>138</v>
      </c>
      <c r="L335" s="191">
        <f t="shared" si="39"/>
        <v>-20.289855072463769</v>
      </c>
      <c r="M335" s="188">
        <f t="shared" si="40"/>
        <v>5.2388685948878168E-2</v>
      </c>
      <c r="N335" s="189">
        <f t="shared" si="41"/>
        <v>6.7435496481626278E-2</v>
      </c>
    </row>
    <row r="336" spans="1:14" hidden="1" outlineLevel="1">
      <c r="A336" s="180"/>
      <c r="B336" s="190">
        <v>7</v>
      </c>
      <c r="C336" s="186">
        <f t="shared" si="35"/>
        <v>-74.439461883408072</v>
      </c>
      <c r="E336" s="182">
        <v>5</v>
      </c>
      <c r="F336" s="183">
        <v>23</v>
      </c>
      <c r="G336" s="191">
        <f t="shared" si="36"/>
        <v>-78.260869565217391</v>
      </c>
      <c r="H336" s="188">
        <f t="shared" si="37"/>
        <v>1.7771459036786921E-2</v>
      </c>
      <c r="I336" s="188">
        <f t="shared" si="38"/>
        <v>0.10431785195936139</v>
      </c>
      <c r="J336" s="182">
        <v>57</v>
      </c>
      <c r="K336" s="183">
        <v>223</v>
      </c>
      <c r="L336" s="191">
        <f t="shared" si="39"/>
        <v>-74.439461883408072</v>
      </c>
      <c r="M336" s="188">
        <f t="shared" si="40"/>
        <v>2.7146864537145959E-2</v>
      </c>
      <c r="N336" s="189">
        <f t="shared" si="41"/>
        <v>0.1089718530101642</v>
      </c>
    </row>
    <row r="337" spans="1:14" collapsed="1">
      <c r="A337" s="180" t="s">
        <v>1301</v>
      </c>
      <c r="B337" s="179" t="s">
        <v>1045</v>
      </c>
      <c r="C337" s="186" t="str">
        <f t="shared" si="35"/>
        <v/>
      </c>
      <c r="E337" s="182">
        <v>100</v>
      </c>
      <c r="F337" s="183">
        <v>0</v>
      </c>
      <c r="G337" s="191" t="str">
        <f t="shared" si="36"/>
        <v/>
      </c>
      <c r="H337" s="188">
        <f t="shared" si="37"/>
        <v>0.35542918073573837</v>
      </c>
      <c r="I337" s="188" t="str">
        <f t="shared" si="38"/>
        <v/>
      </c>
      <c r="J337" s="182">
        <v>262</v>
      </c>
      <c r="K337" s="183">
        <v>0</v>
      </c>
      <c r="L337" s="191" t="str">
        <f t="shared" si="39"/>
        <v/>
      </c>
      <c r="M337" s="188">
        <f t="shared" si="40"/>
        <v>0.12478032471460072</v>
      </c>
      <c r="N337" s="189" t="str">
        <f t="shared" si="41"/>
        <v/>
      </c>
    </row>
    <row r="338" spans="1:14" hidden="1" outlineLevel="1">
      <c r="A338" s="180"/>
      <c r="B338" s="190" t="s">
        <v>1046</v>
      </c>
      <c r="C338" s="186" t="str">
        <f t="shared" si="35"/>
        <v/>
      </c>
      <c r="E338" s="182">
        <v>100</v>
      </c>
      <c r="F338" s="183">
        <v>0</v>
      </c>
      <c r="G338" s="191" t="str">
        <f t="shared" si="36"/>
        <v/>
      </c>
      <c r="H338" s="188">
        <f t="shared" si="37"/>
        <v>0.35542918073573837</v>
      </c>
      <c r="I338" s="188" t="str">
        <f t="shared" si="38"/>
        <v/>
      </c>
      <c r="J338" s="182">
        <v>262</v>
      </c>
      <c r="K338" s="183">
        <v>0</v>
      </c>
      <c r="L338" s="191" t="str">
        <f t="shared" si="39"/>
        <v/>
      </c>
      <c r="M338" s="188">
        <f t="shared" si="40"/>
        <v>0.12478032471460072</v>
      </c>
      <c r="N338" s="189" t="str">
        <f t="shared" si="41"/>
        <v/>
      </c>
    </row>
    <row r="339" spans="1:14" collapsed="1">
      <c r="A339" s="180" t="s">
        <v>1302</v>
      </c>
      <c r="B339" s="179" t="s">
        <v>258</v>
      </c>
      <c r="C339" s="186">
        <f t="shared" si="35"/>
        <v>226.5625</v>
      </c>
      <c r="E339" s="182">
        <v>19</v>
      </c>
      <c r="F339" s="183">
        <v>7</v>
      </c>
      <c r="G339" s="191">
        <f t="shared" si="36"/>
        <v>171.42857142857142</v>
      </c>
      <c r="H339" s="188">
        <f t="shared" si="37"/>
        <v>6.7531544339790292E-2</v>
      </c>
      <c r="I339" s="188">
        <f t="shared" si="38"/>
        <v>3.17489114658926E-2</v>
      </c>
      <c r="J339" s="182">
        <v>209</v>
      </c>
      <c r="K339" s="183">
        <v>64</v>
      </c>
      <c r="L339" s="191">
        <f t="shared" si="39"/>
        <v>226.5625</v>
      </c>
      <c r="M339" s="188">
        <f t="shared" si="40"/>
        <v>9.9538503302868508E-2</v>
      </c>
      <c r="N339" s="189">
        <f t="shared" si="41"/>
        <v>3.1274433150899138E-2</v>
      </c>
    </row>
    <row r="340" spans="1:14" hidden="1" outlineLevel="1">
      <c r="A340" s="180"/>
      <c r="B340" s="190" t="s">
        <v>1115</v>
      </c>
      <c r="C340" s="186">
        <f t="shared" si="35"/>
        <v>762.5</v>
      </c>
      <c r="E340" s="182">
        <v>19</v>
      </c>
      <c r="F340" s="183">
        <v>5</v>
      </c>
      <c r="G340" s="191">
        <f t="shared" si="36"/>
        <v>280</v>
      </c>
      <c r="H340" s="188">
        <f t="shared" si="37"/>
        <v>6.7531544339790292E-2</v>
      </c>
      <c r="I340" s="188">
        <f t="shared" si="38"/>
        <v>2.2677793904208998E-2</v>
      </c>
      <c r="J340" s="182">
        <v>138</v>
      </c>
      <c r="K340" s="183">
        <v>16</v>
      </c>
      <c r="L340" s="191">
        <f t="shared" si="39"/>
        <v>762.5</v>
      </c>
      <c r="M340" s="188">
        <f t="shared" si="40"/>
        <v>6.5723987826774438E-2</v>
      </c>
      <c r="N340" s="189">
        <f t="shared" si="41"/>
        <v>7.8186082877247844E-3</v>
      </c>
    </row>
    <row r="341" spans="1:14" hidden="1" outlineLevel="1">
      <c r="A341" s="180"/>
      <c r="B341" s="190" t="s">
        <v>967</v>
      </c>
      <c r="C341" s="186">
        <f t="shared" si="35"/>
        <v>63.636363636363633</v>
      </c>
      <c r="E341" s="182">
        <v>0</v>
      </c>
      <c r="F341" s="183">
        <v>1</v>
      </c>
      <c r="G341" s="191">
        <f t="shared" si="36"/>
        <v>-100</v>
      </c>
      <c r="H341" s="188" t="str">
        <f t="shared" si="37"/>
        <v/>
      </c>
      <c r="I341" s="188">
        <f t="shared" si="38"/>
        <v>4.5355587808417995E-3</v>
      </c>
      <c r="J341" s="182">
        <v>36</v>
      </c>
      <c r="K341" s="183">
        <v>22</v>
      </c>
      <c r="L341" s="191">
        <f t="shared" si="39"/>
        <v>63.636363636363633</v>
      </c>
      <c r="M341" s="188">
        <f t="shared" si="40"/>
        <v>1.7145388128723765E-2</v>
      </c>
      <c r="N341" s="189">
        <f t="shared" si="41"/>
        <v>1.075058639562158E-2</v>
      </c>
    </row>
    <row r="342" spans="1:14" hidden="1" outlineLevel="1">
      <c r="A342" s="180"/>
      <c r="B342" s="190" t="s">
        <v>1114</v>
      </c>
      <c r="C342" s="186">
        <f t="shared" si="35"/>
        <v>34.615384615384613</v>
      </c>
      <c r="E342" s="182">
        <v>0</v>
      </c>
      <c r="F342" s="183">
        <v>1</v>
      </c>
      <c r="G342" s="191">
        <f t="shared" si="36"/>
        <v>-100</v>
      </c>
      <c r="H342" s="188" t="str">
        <f t="shared" si="37"/>
        <v/>
      </c>
      <c r="I342" s="188">
        <f t="shared" si="38"/>
        <v>4.5355587808417995E-3</v>
      </c>
      <c r="J342" s="182">
        <v>35</v>
      </c>
      <c r="K342" s="183">
        <v>26</v>
      </c>
      <c r="L342" s="191">
        <f t="shared" si="39"/>
        <v>34.615384615384613</v>
      </c>
      <c r="M342" s="188">
        <f t="shared" si="40"/>
        <v>1.6669127347370326E-2</v>
      </c>
      <c r="N342" s="189">
        <f t="shared" si="41"/>
        <v>1.2705238467552777E-2</v>
      </c>
    </row>
    <row r="343" spans="1:14" collapsed="1">
      <c r="A343" s="180" t="s">
        <v>1303</v>
      </c>
      <c r="B343" s="179" t="s">
        <v>274</v>
      </c>
      <c r="C343" s="186">
        <f t="shared" si="35"/>
        <v>-42.65129682997118</v>
      </c>
      <c r="E343" s="182">
        <v>22</v>
      </c>
      <c r="F343" s="183">
        <v>63</v>
      </c>
      <c r="G343" s="191">
        <f t="shared" si="36"/>
        <v>-65.079365079365076</v>
      </c>
      <c r="H343" s="188">
        <f t="shared" si="37"/>
        <v>7.8194419761862449E-2</v>
      </c>
      <c r="I343" s="188">
        <f t="shared" si="38"/>
        <v>0.28574020319303339</v>
      </c>
      <c r="J343" s="182">
        <v>199</v>
      </c>
      <c r="K343" s="183">
        <v>347</v>
      </c>
      <c r="L343" s="191">
        <f t="shared" si="39"/>
        <v>-42.65129682997118</v>
      </c>
      <c r="M343" s="188">
        <f t="shared" si="40"/>
        <v>9.4775895489334142E-2</v>
      </c>
      <c r="N343" s="189">
        <f t="shared" si="41"/>
        <v>0.16956606724003129</v>
      </c>
    </row>
    <row r="344" spans="1:14" hidden="1" outlineLevel="1">
      <c r="A344" s="180"/>
      <c r="B344" s="190" t="s">
        <v>954</v>
      </c>
      <c r="C344" s="186">
        <f t="shared" si="35"/>
        <v>-16.666666666666664</v>
      </c>
      <c r="E344" s="182">
        <v>9</v>
      </c>
      <c r="F344" s="183">
        <v>6</v>
      </c>
      <c r="G344" s="191">
        <f t="shared" si="36"/>
        <v>50</v>
      </c>
      <c r="H344" s="188">
        <f t="shared" si="37"/>
        <v>3.1988626266216458E-2</v>
      </c>
      <c r="I344" s="188">
        <f t="shared" si="38"/>
        <v>2.7213352685050797E-2</v>
      </c>
      <c r="J344" s="182">
        <v>100</v>
      </c>
      <c r="K344" s="183">
        <v>120</v>
      </c>
      <c r="L344" s="191">
        <f t="shared" si="39"/>
        <v>-16.666666666666664</v>
      </c>
      <c r="M344" s="188">
        <f t="shared" si="40"/>
        <v>4.7626078135343787E-2</v>
      </c>
      <c r="N344" s="189">
        <f t="shared" si="41"/>
        <v>5.8639562157935893E-2</v>
      </c>
    </row>
    <row r="345" spans="1:14" hidden="1" outlineLevel="1">
      <c r="A345" s="180"/>
      <c r="B345" s="190" t="s">
        <v>957</v>
      </c>
      <c r="C345" s="186">
        <f t="shared" si="35"/>
        <v>0</v>
      </c>
      <c r="E345" s="182">
        <v>3</v>
      </c>
      <c r="F345" s="183">
        <v>1</v>
      </c>
      <c r="G345" s="191">
        <f t="shared" si="36"/>
        <v>200</v>
      </c>
      <c r="H345" s="188">
        <f t="shared" si="37"/>
        <v>1.0662875422072152E-2</v>
      </c>
      <c r="I345" s="188">
        <f t="shared" si="38"/>
        <v>4.5355587808417995E-3</v>
      </c>
      <c r="J345" s="182">
        <v>42</v>
      </c>
      <c r="K345" s="183">
        <v>42</v>
      </c>
      <c r="L345" s="191">
        <f t="shared" si="39"/>
        <v>0</v>
      </c>
      <c r="M345" s="188">
        <f t="shared" si="40"/>
        <v>2.0002952816844392E-2</v>
      </c>
      <c r="N345" s="189">
        <f t="shared" si="41"/>
        <v>2.0523846755277561E-2</v>
      </c>
    </row>
    <row r="346" spans="1:14" hidden="1" outlineLevel="1">
      <c r="A346" s="180"/>
      <c r="B346" s="190" t="s">
        <v>955</v>
      </c>
      <c r="C346" s="186">
        <f t="shared" si="35"/>
        <v>-66.935483870967744</v>
      </c>
      <c r="E346" s="182">
        <v>8</v>
      </c>
      <c r="F346" s="183">
        <v>50</v>
      </c>
      <c r="G346" s="191">
        <f t="shared" si="36"/>
        <v>-84</v>
      </c>
      <c r="H346" s="188">
        <f t="shared" si="37"/>
        <v>2.8434334458859074E-2</v>
      </c>
      <c r="I346" s="188">
        <f t="shared" si="38"/>
        <v>0.22677793904208998</v>
      </c>
      <c r="J346" s="182">
        <v>41</v>
      </c>
      <c r="K346" s="183">
        <v>124</v>
      </c>
      <c r="L346" s="191">
        <f t="shared" si="39"/>
        <v>-66.935483870967744</v>
      </c>
      <c r="M346" s="188">
        <f t="shared" si="40"/>
        <v>1.9526692035490952E-2</v>
      </c>
      <c r="N346" s="189">
        <f t="shared" si="41"/>
        <v>6.0594214229867084E-2</v>
      </c>
    </row>
    <row r="347" spans="1:14" hidden="1" outlineLevel="1">
      <c r="A347" s="180"/>
      <c r="B347" s="190" t="s">
        <v>956</v>
      </c>
      <c r="C347" s="186">
        <f t="shared" si="35"/>
        <v>-77.049180327868854</v>
      </c>
      <c r="E347" s="182">
        <v>2</v>
      </c>
      <c r="F347" s="183">
        <v>6</v>
      </c>
      <c r="G347" s="191">
        <f t="shared" si="36"/>
        <v>-66.666666666666657</v>
      </c>
      <c r="H347" s="188">
        <f t="shared" si="37"/>
        <v>7.1085836147147686E-3</v>
      </c>
      <c r="I347" s="188">
        <f t="shared" si="38"/>
        <v>2.7213352685050797E-2</v>
      </c>
      <c r="J347" s="182">
        <v>14</v>
      </c>
      <c r="K347" s="183">
        <v>61</v>
      </c>
      <c r="L347" s="191">
        <f t="shared" si="39"/>
        <v>-77.049180327868854</v>
      </c>
      <c r="M347" s="188">
        <f t="shared" si="40"/>
        <v>6.66765093894813E-3</v>
      </c>
      <c r="N347" s="189">
        <f t="shared" si="41"/>
        <v>2.9808444096950742E-2</v>
      </c>
    </row>
    <row r="348" spans="1:14" hidden="1" outlineLevel="1">
      <c r="A348" s="180"/>
      <c r="B348" s="190" t="s">
        <v>1200</v>
      </c>
      <c r="C348" s="186" t="str">
        <f t="shared" si="35"/>
        <v/>
      </c>
      <c r="E348" s="182">
        <v>0</v>
      </c>
      <c r="F348" s="183">
        <v>0</v>
      </c>
      <c r="G348" s="191" t="str">
        <f t="shared" si="36"/>
        <v/>
      </c>
      <c r="H348" s="188" t="str">
        <f t="shared" si="37"/>
        <v/>
      </c>
      <c r="I348" s="188" t="str">
        <f t="shared" si="38"/>
        <v/>
      </c>
      <c r="J348" s="182">
        <v>2</v>
      </c>
      <c r="K348" s="183">
        <v>0</v>
      </c>
      <c r="L348" s="191" t="str">
        <f t="shared" si="39"/>
        <v/>
      </c>
      <c r="M348" s="188">
        <f t="shared" si="40"/>
        <v>9.5252156270687579E-4</v>
      </c>
      <c r="N348" s="189" t="str">
        <f t="shared" si="41"/>
        <v/>
      </c>
    </row>
    <row r="349" spans="1:14" collapsed="1">
      <c r="A349" s="180" t="s">
        <v>1304</v>
      </c>
      <c r="B349" s="179" t="s">
        <v>1064</v>
      </c>
      <c r="C349" s="186" t="str">
        <f t="shared" si="35"/>
        <v/>
      </c>
      <c r="E349" s="182">
        <v>11</v>
      </c>
      <c r="F349" s="183">
        <v>0</v>
      </c>
      <c r="G349" s="191" t="str">
        <f t="shared" si="36"/>
        <v/>
      </c>
      <c r="H349" s="188">
        <f t="shared" si="37"/>
        <v>3.9097209880931225E-2</v>
      </c>
      <c r="I349" s="188" t="str">
        <f t="shared" si="38"/>
        <v/>
      </c>
      <c r="J349" s="182">
        <v>143</v>
      </c>
      <c r="K349" s="183">
        <v>0</v>
      </c>
      <c r="L349" s="191" t="str">
        <f t="shared" si="39"/>
        <v/>
      </c>
      <c r="M349" s="188">
        <f t="shared" si="40"/>
        <v>6.8105291733541615E-2</v>
      </c>
      <c r="N349" s="189" t="str">
        <f t="shared" si="41"/>
        <v/>
      </c>
    </row>
    <row r="350" spans="1:14" hidden="1" outlineLevel="1">
      <c r="A350" s="180"/>
      <c r="B350" s="190" t="s">
        <v>1075</v>
      </c>
      <c r="C350" s="186" t="str">
        <f t="shared" si="35"/>
        <v/>
      </c>
      <c r="E350" s="182">
        <v>5</v>
      </c>
      <c r="F350" s="183">
        <v>0</v>
      </c>
      <c r="G350" s="191" t="str">
        <f t="shared" si="36"/>
        <v/>
      </c>
      <c r="H350" s="188">
        <f t="shared" si="37"/>
        <v>1.7771459036786921E-2</v>
      </c>
      <c r="I350" s="188" t="str">
        <f t="shared" si="38"/>
        <v/>
      </c>
      <c r="J350" s="182">
        <v>75</v>
      </c>
      <c r="K350" s="183">
        <v>0</v>
      </c>
      <c r="L350" s="191" t="str">
        <f t="shared" si="39"/>
        <v/>
      </c>
      <c r="M350" s="188">
        <f t="shared" si="40"/>
        <v>3.5719558601507842E-2</v>
      </c>
      <c r="N350" s="189" t="str">
        <f t="shared" si="41"/>
        <v/>
      </c>
    </row>
    <row r="351" spans="1:14" hidden="1" outlineLevel="1">
      <c r="A351" s="180"/>
      <c r="B351" s="190" t="s">
        <v>1116</v>
      </c>
      <c r="C351" s="186" t="str">
        <f t="shared" si="35"/>
        <v/>
      </c>
      <c r="E351" s="182">
        <v>3</v>
      </c>
      <c r="F351" s="183">
        <v>0</v>
      </c>
      <c r="G351" s="191" t="str">
        <f t="shared" si="36"/>
        <v/>
      </c>
      <c r="H351" s="188">
        <f t="shared" si="37"/>
        <v>1.0662875422072152E-2</v>
      </c>
      <c r="I351" s="188" t="str">
        <f t="shared" si="38"/>
        <v/>
      </c>
      <c r="J351" s="182">
        <v>38</v>
      </c>
      <c r="K351" s="183">
        <v>0</v>
      </c>
      <c r="L351" s="191" t="str">
        <f t="shared" si="39"/>
        <v/>
      </c>
      <c r="M351" s="188">
        <f t="shared" si="40"/>
        <v>1.8097909691430637E-2</v>
      </c>
      <c r="N351" s="189" t="str">
        <f t="shared" si="41"/>
        <v/>
      </c>
    </row>
    <row r="352" spans="1:14" hidden="1" outlineLevel="1">
      <c r="A352" s="180"/>
      <c r="B352" s="190" t="s">
        <v>1146</v>
      </c>
      <c r="C352" s="186" t="str">
        <f t="shared" si="35"/>
        <v/>
      </c>
      <c r="E352" s="182">
        <v>3</v>
      </c>
      <c r="F352" s="183">
        <v>0</v>
      </c>
      <c r="G352" s="191" t="str">
        <f t="shared" si="36"/>
        <v/>
      </c>
      <c r="H352" s="188">
        <f t="shared" si="37"/>
        <v>1.0662875422072152E-2</v>
      </c>
      <c r="I352" s="188" t="str">
        <f t="shared" si="38"/>
        <v/>
      </c>
      <c r="J352" s="182">
        <v>30</v>
      </c>
      <c r="K352" s="183">
        <v>0</v>
      </c>
      <c r="L352" s="191" t="str">
        <f t="shared" si="39"/>
        <v/>
      </c>
      <c r="M352" s="188">
        <f t="shared" si="40"/>
        <v>1.4287823440603137E-2</v>
      </c>
      <c r="N352" s="189" t="str">
        <f t="shared" si="41"/>
        <v/>
      </c>
    </row>
    <row r="353" spans="1:14" collapsed="1">
      <c r="A353" s="180" t="s">
        <v>1259</v>
      </c>
      <c r="B353" s="179" t="s">
        <v>271</v>
      </c>
      <c r="C353" s="186">
        <f t="shared" si="35"/>
        <v>-56.313993174061437</v>
      </c>
      <c r="E353" s="182">
        <v>5</v>
      </c>
      <c r="F353" s="183">
        <v>10</v>
      </c>
      <c r="G353" s="191">
        <f t="shared" si="36"/>
        <v>-50</v>
      </c>
      <c r="H353" s="188">
        <f t="shared" si="37"/>
        <v>1.7771459036786921E-2</v>
      </c>
      <c r="I353" s="188">
        <f t="shared" si="38"/>
        <v>4.5355587808417995E-2</v>
      </c>
      <c r="J353" s="182">
        <v>128</v>
      </c>
      <c r="K353" s="183">
        <v>293</v>
      </c>
      <c r="L353" s="191">
        <f t="shared" si="39"/>
        <v>-56.313993174061437</v>
      </c>
      <c r="M353" s="188">
        <f t="shared" si="40"/>
        <v>6.096138001324005E-2</v>
      </c>
      <c r="N353" s="189">
        <f t="shared" si="41"/>
        <v>0.14317826426896013</v>
      </c>
    </row>
    <row r="354" spans="1:14" hidden="1" outlineLevel="1">
      <c r="A354" s="180"/>
      <c r="B354" s="190" t="s">
        <v>958</v>
      </c>
      <c r="C354" s="186">
        <f t="shared" si="35"/>
        <v>-58.653846153846153</v>
      </c>
      <c r="E354" s="182">
        <v>2</v>
      </c>
      <c r="F354" s="183">
        <v>9</v>
      </c>
      <c r="G354" s="191">
        <f t="shared" si="36"/>
        <v>-77.777777777777786</v>
      </c>
      <c r="H354" s="188">
        <f t="shared" si="37"/>
        <v>7.1085836147147686E-3</v>
      </c>
      <c r="I354" s="188">
        <f t="shared" si="38"/>
        <v>4.0820029027576199E-2</v>
      </c>
      <c r="J354" s="182">
        <v>86</v>
      </c>
      <c r="K354" s="183">
        <v>208</v>
      </c>
      <c r="L354" s="191">
        <f t="shared" si="39"/>
        <v>-58.653846153846153</v>
      </c>
      <c r="M354" s="188">
        <f t="shared" si="40"/>
        <v>4.0958427196395655E-2</v>
      </c>
      <c r="N354" s="189">
        <f t="shared" si="41"/>
        <v>0.10164190774042221</v>
      </c>
    </row>
    <row r="355" spans="1:14" hidden="1" outlineLevel="1">
      <c r="A355" s="180"/>
      <c r="B355" s="190" t="s">
        <v>959</v>
      </c>
      <c r="C355" s="186">
        <f t="shared" si="35"/>
        <v>-53.191489361702125</v>
      </c>
      <c r="E355" s="182">
        <v>1</v>
      </c>
      <c r="F355" s="183">
        <v>0</v>
      </c>
      <c r="G355" s="191" t="str">
        <f t="shared" si="36"/>
        <v/>
      </c>
      <c r="H355" s="188">
        <f t="shared" si="37"/>
        <v>3.5542918073573843E-3</v>
      </c>
      <c r="I355" s="188" t="str">
        <f t="shared" si="38"/>
        <v/>
      </c>
      <c r="J355" s="182">
        <v>22</v>
      </c>
      <c r="K355" s="183">
        <v>47</v>
      </c>
      <c r="L355" s="191">
        <f t="shared" si="39"/>
        <v>-53.191489361702125</v>
      </c>
      <c r="M355" s="188">
        <f t="shared" si="40"/>
        <v>1.0477737189775634E-2</v>
      </c>
      <c r="N355" s="189">
        <f t="shared" si="41"/>
        <v>2.2967161845191555E-2</v>
      </c>
    </row>
    <row r="356" spans="1:14" hidden="1" outlineLevel="1">
      <c r="A356" s="180"/>
      <c r="B356" s="190" t="s">
        <v>1260</v>
      </c>
      <c r="C356" s="186" t="str">
        <f t="shared" si="35"/>
        <v/>
      </c>
      <c r="E356" s="182">
        <v>2</v>
      </c>
      <c r="F356" s="183">
        <v>0</v>
      </c>
      <c r="G356" s="191" t="str">
        <f t="shared" si="36"/>
        <v/>
      </c>
      <c r="H356" s="188">
        <f t="shared" si="37"/>
        <v>7.1085836147147686E-3</v>
      </c>
      <c r="I356" s="188" t="str">
        <f t="shared" si="38"/>
        <v/>
      </c>
      <c r="J356" s="182">
        <v>18</v>
      </c>
      <c r="K356" s="183">
        <v>0</v>
      </c>
      <c r="L356" s="191" t="str">
        <f t="shared" si="39"/>
        <v/>
      </c>
      <c r="M356" s="188">
        <f t="shared" si="40"/>
        <v>8.5726940643618826E-3</v>
      </c>
      <c r="N356" s="189" t="str">
        <f t="shared" si="41"/>
        <v/>
      </c>
    </row>
    <row r="357" spans="1:14" hidden="1" outlineLevel="1">
      <c r="A357" s="180"/>
      <c r="B357" s="190" t="s">
        <v>1122</v>
      </c>
      <c r="C357" s="186">
        <f t="shared" si="35"/>
        <v>-97.142857142857139</v>
      </c>
      <c r="E357" s="182">
        <v>0</v>
      </c>
      <c r="F357" s="183">
        <v>0</v>
      </c>
      <c r="G357" s="191" t="str">
        <f t="shared" si="36"/>
        <v/>
      </c>
      <c r="H357" s="188" t="str">
        <f t="shared" si="37"/>
        <v/>
      </c>
      <c r="I357" s="188" t="str">
        <f t="shared" si="38"/>
        <v/>
      </c>
      <c r="J357" s="182">
        <v>1</v>
      </c>
      <c r="K357" s="183">
        <v>35</v>
      </c>
      <c r="L357" s="191">
        <f t="shared" si="39"/>
        <v>-97.142857142857139</v>
      </c>
      <c r="M357" s="188">
        <f t="shared" si="40"/>
        <v>4.7626078135343789E-4</v>
      </c>
      <c r="N357" s="189">
        <f t="shared" si="41"/>
        <v>1.7103205629397968E-2</v>
      </c>
    </row>
    <row r="358" spans="1:14" hidden="1" outlineLevel="1">
      <c r="A358" s="180"/>
      <c r="B358" s="190" t="s">
        <v>1121</v>
      </c>
      <c r="C358" s="186">
        <f t="shared" si="35"/>
        <v>-50</v>
      </c>
      <c r="E358" s="182">
        <v>0</v>
      </c>
      <c r="F358" s="183">
        <v>1</v>
      </c>
      <c r="G358" s="191">
        <f t="shared" si="36"/>
        <v>-100</v>
      </c>
      <c r="H358" s="188" t="str">
        <f t="shared" si="37"/>
        <v/>
      </c>
      <c r="I358" s="188">
        <f t="shared" si="38"/>
        <v>4.5355587808417995E-3</v>
      </c>
      <c r="J358" s="182">
        <v>1</v>
      </c>
      <c r="K358" s="183">
        <v>2</v>
      </c>
      <c r="L358" s="191">
        <f t="shared" si="39"/>
        <v>-50</v>
      </c>
      <c r="M358" s="188">
        <f t="shared" si="40"/>
        <v>4.7626078135343789E-4</v>
      </c>
      <c r="N358" s="189">
        <f t="shared" si="41"/>
        <v>9.7732603596559805E-4</v>
      </c>
    </row>
    <row r="359" spans="1:14" hidden="1" outlineLevel="1">
      <c r="A359" s="180"/>
      <c r="B359" s="190" t="s">
        <v>1201</v>
      </c>
      <c r="C359" s="186">
        <f t="shared" si="35"/>
        <v>-100</v>
      </c>
      <c r="E359" s="182">
        <v>0</v>
      </c>
      <c r="F359" s="183">
        <v>0</v>
      </c>
      <c r="G359" s="191" t="str">
        <f t="shared" si="36"/>
        <v/>
      </c>
      <c r="H359" s="188" t="str">
        <f t="shared" si="37"/>
        <v/>
      </c>
      <c r="I359" s="188" t="str">
        <f t="shared" si="38"/>
        <v/>
      </c>
      <c r="J359" s="182">
        <v>0</v>
      </c>
      <c r="K359" s="183">
        <v>1</v>
      </c>
      <c r="L359" s="191">
        <f t="shared" si="39"/>
        <v>-100</v>
      </c>
      <c r="M359" s="188" t="str">
        <f t="shared" si="40"/>
        <v/>
      </c>
      <c r="N359" s="189">
        <f t="shared" si="41"/>
        <v>4.8866301798279903E-4</v>
      </c>
    </row>
    <row r="360" spans="1:14" collapsed="1">
      <c r="A360" s="180" t="s">
        <v>1229</v>
      </c>
      <c r="B360" s="179" t="s">
        <v>414</v>
      </c>
      <c r="C360" s="186">
        <f t="shared" si="35"/>
        <v>-15.74074074074074</v>
      </c>
      <c r="E360" s="182">
        <v>9</v>
      </c>
      <c r="F360" s="183">
        <v>7</v>
      </c>
      <c r="G360" s="191">
        <f t="shared" si="36"/>
        <v>28.571428571428569</v>
      </c>
      <c r="H360" s="188">
        <f t="shared" si="37"/>
        <v>3.1988626266216458E-2</v>
      </c>
      <c r="I360" s="188">
        <f t="shared" si="38"/>
        <v>3.17489114658926E-2</v>
      </c>
      <c r="J360" s="182">
        <v>91</v>
      </c>
      <c r="K360" s="183">
        <v>108</v>
      </c>
      <c r="L360" s="191">
        <f t="shared" si="39"/>
        <v>-15.74074074074074</v>
      </c>
      <c r="M360" s="188">
        <f t="shared" si="40"/>
        <v>4.3339731103162846E-2</v>
      </c>
      <c r="N360" s="189">
        <f t="shared" si="41"/>
        <v>5.2775605942142298E-2</v>
      </c>
    </row>
    <row r="361" spans="1:14" hidden="1" outlineLevel="1">
      <c r="A361" s="180"/>
      <c r="B361" s="190" t="s">
        <v>962</v>
      </c>
      <c r="C361" s="186">
        <f t="shared" si="35"/>
        <v>-17.592592592592592</v>
      </c>
      <c r="E361" s="182">
        <v>9</v>
      </c>
      <c r="F361" s="183">
        <v>7</v>
      </c>
      <c r="G361" s="191">
        <f t="shared" si="36"/>
        <v>28.571428571428569</v>
      </c>
      <c r="H361" s="188">
        <f t="shared" si="37"/>
        <v>3.1988626266216458E-2</v>
      </c>
      <c r="I361" s="188">
        <f t="shared" si="38"/>
        <v>3.17489114658926E-2</v>
      </c>
      <c r="J361" s="182">
        <v>89</v>
      </c>
      <c r="K361" s="183">
        <v>108</v>
      </c>
      <c r="L361" s="191">
        <f t="shared" si="39"/>
        <v>-17.592592592592592</v>
      </c>
      <c r="M361" s="188">
        <f t="shared" si="40"/>
        <v>4.2387209540455974E-2</v>
      </c>
      <c r="N361" s="189">
        <f t="shared" si="41"/>
        <v>5.2775605942142298E-2</v>
      </c>
    </row>
    <row r="362" spans="1:14" hidden="1" outlineLevel="1">
      <c r="A362" s="180"/>
      <c r="B362" s="190" t="s">
        <v>1169</v>
      </c>
      <c r="C362" s="186" t="str">
        <f t="shared" si="35"/>
        <v/>
      </c>
      <c r="E362" s="182">
        <v>0</v>
      </c>
      <c r="F362" s="183">
        <v>0</v>
      </c>
      <c r="G362" s="191" t="str">
        <f t="shared" si="36"/>
        <v/>
      </c>
      <c r="H362" s="188" t="str">
        <f t="shared" si="37"/>
        <v/>
      </c>
      <c r="I362" s="188" t="str">
        <f t="shared" si="38"/>
        <v/>
      </c>
      <c r="J362" s="182">
        <v>2</v>
      </c>
      <c r="K362" s="183">
        <v>0</v>
      </c>
      <c r="L362" s="191" t="str">
        <f t="shared" si="39"/>
        <v/>
      </c>
      <c r="M362" s="188">
        <f t="shared" si="40"/>
        <v>9.5252156270687579E-4</v>
      </c>
      <c r="N362" s="189" t="str">
        <f t="shared" si="41"/>
        <v/>
      </c>
    </row>
    <row r="363" spans="1:14" collapsed="1">
      <c r="A363" s="180" t="s">
        <v>1305</v>
      </c>
      <c r="B363" s="179" t="s">
        <v>1162</v>
      </c>
      <c r="C363" s="186">
        <f t="shared" si="35"/>
        <v>690</v>
      </c>
      <c r="E363" s="182">
        <v>52</v>
      </c>
      <c r="F363" s="183">
        <v>0</v>
      </c>
      <c r="G363" s="191" t="str">
        <f t="shared" si="36"/>
        <v/>
      </c>
      <c r="H363" s="188">
        <f t="shared" si="37"/>
        <v>0.18482317398258397</v>
      </c>
      <c r="I363" s="188" t="str">
        <f t="shared" si="38"/>
        <v/>
      </c>
      <c r="J363" s="182">
        <v>79</v>
      </c>
      <c r="K363" s="183">
        <v>10</v>
      </c>
      <c r="L363" s="191">
        <f t="shared" si="39"/>
        <v>690</v>
      </c>
      <c r="M363" s="188">
        <f t="shared" si="40"/>
        <v>3.7624601726921593E-2</v>
      </c>
      <c r="N363" s="189">
        <f t="shared" si="41"/>
        <v>4.8866301798279905E-3</v>
      </c>
    </row>
    <row r="364" spans="1:14" hidden="1" outlineLevel="1">
      <c r="A364" s="180"/>
      <c r="B364" s="190" t="s">
        <v>1306</v>
      </c>
      <c r="C364" s="186" t="str">
        <f t="shared" si="35"/>
        <v/>
      </c>
      <c r="E364" s="182">
        <v>41</v>
      </c>
      <c r="F364" s="183">
        <v>0</v>
      </c>
      <c r="G364" s="191" t="str">
        <f t="shared" si="36"/>
        <v/>
      </c>
      <c r="H364" s="188">
        <f t="shared" si="37"/>
        <v>0.14572596410165276</v>
      </c>
      <c r="I364" s="188" t="str">
        <f t="shared" si="38"/>
        <v/>
      </c>
      <c r="J364" s="182">
        <v>41</v>
      </c>
      <c r="K364" s="183">
        <v>0</v>
      </c>
      <c r="L364" s="191" t="str">
        <f t="shared" si="39"/>
        <v/>
      </c>
      <c r="M364" s="188">
        <f t="shared" si="40"/>
        <v>1.9526692035490952E-2</v>
      </c>
      <c r="N364" s="189" t="str">
        <f t="shared" si="41"/>
        <v/>
      </c>
    </row>
    <row r="365" spans="1:14" hidden="1" outlineLevel="1">
      <c r="A365" s="180"/>
      <c r="B365" s="190" t="s">
        <v>1173</v>
      </c>
      <c r="C365" s="186">
        <f t="shared" si="35"/>
        <v>1166.6666666666665</v>
      </c>
      <c r="E365" s="182">
        <v>11</v>
      </c>
      <c r="F365" s="183">
        <v>0</v>
      </c>
      <c r="G365" s="191" t="str">
        <f t="shared" si="36"/>
        <v/>
      </c>
      <c r="H365" s="188">
        <f t="shared" si="37"/>
        <v>3.9097209880931225E-2</v>
      </c>
      <c r="I365" s="188" t="str">
        <f t="shared" si="38"/>
        <v/>
      </c>
      <c r="J365" s="182">
        <v>38</v>
      </c>
      <c r="K365" s="183">
        <v>3</v>
      </c>
      <c r="L365" s="191">
        <f t="shared" si="39"/>
        <v>1166.6666666666665</v>
      </c>
      <c r="M365" s="188">
        <f t="shared" si="40"/>
        <v>1.8097909691430637E-2</v>
      </c>
      <c r="N365" s="189">
        <f t="shared" si="41"/>
        <v>1.4659890539483972E-3</v>
      </c>
    </row>
    <row r="366" spans="1:14" hidden="1" outlineLevel="1">
      <c r="A366" s="180"/>
      <c r="B366" s="190" t="s">
        <v>1172</v>
      </c>
      <c r="C366" s="186">
        <f t="shared" si="35"/>
        <v>-100</v>
      </c>
      <c r="E366" s="182">
        <v>0</v>
      </c>
      <c r="F366" s="183">
        <v>0</v>
      </c>
      <c r="G366" s="191" t="str">
        <f t="shared" si="36"/>
        <v/>
      </c>
      <c r="H366" s="188" t="str">
        <f t="shared" si="37"/>
        <v/>
      </c>
      <c r="I366" s="188" t="str">
        <f t="shared" si="38"/>
        <v/>
      </c>
      <c r="J366" s="182">
        <v>0</v>
      </c>
      <c r="K366" s="183">
        <v>7</v>
      </c>
      <c r="L366" s="191">
        <f t="shared" si="39"/>
        <v>-100</v>
      </c>
      <c r="M366" s="188" t="str">
        <f t="shared" si="40"/>
        <v/>
      </c>
      <c r="N366" s="189">
        <f t="shared" si="41"/>
        <v>3.4206411258795935E-3</v>
      </c>
    </row>
    <row r="367" spans="1:14" collapsed="1">
      <c r="A367" s="180" t="s">
        <v>1307</v>
      </c>
      <c r="B367" s="179" t="s">
        <v>963</v>
      </c>
      <c r="C367" s="186">
        <f t="shared" si="35"/>
        <v>65.116279069767444</v>
      </c>
      <c r="E367" s="182">
        <v>0</v>
      </c>
      <c r="F367" s="183">
        <v>1</v>
      </c>
      <c r="G367" s="191">
        <f t="shared" si="36"/>
        <v>-100</v>
      </c>
      <c r="H367" s="188" t="str">
        <f t="shared" si="37"/>
        <v/>
      </c>
      <c r="I367" s="188">
        <f t="shared" si="38"/>
        <v>4.5355587808417995E-3</v>
      </c>
      <c r="J367" s="182">
        <v>71</v>
      </c>
      <c r="K367" s="183">
        <v>43</v>
      </c>
      <c r="L367" s="191">
        <f t="shared" si="39"/>
        <v>65.116279069767444</v>
      </c>
      <c r="M367" s="188">
        <f t="shared" si="40"/>
        <v>3.3814515476094091E-2</v>
      </c>
      <c r="N367" s="189">
        <f t="shared" si="41"/>
        <v>2.1012509773260357E-2</v>
      </c>
    </row>
    <row r="368" spans="1:14" hidden="1" outlineLevel="1">
      <c r="A368" s="180"/>
      <c r="B368" s="190" t="s">
        <v>964</v>
      </c>
      <c r="C368" s="186">
        <f t="shared" si="35"/>
        <v>65.116279069767444</v>
      </c>
      <c r="E368" s="182">
        <v>0</v>
      </c>
      <c r="F368" s="183">
        <v>1</v>
      </c>
      <c r="G368" s="191">
        <f t="shared" si="36"/>
        <v>-100</v>
      </c>
      <c r="H368" s="188" t="str">
        <f t="shared" si="37"/>
        <v/>
      </c>
      <c r="I368" s="188">
        <f t="shared" si="38"/>
        <v>4.5355587808417995E-3</v>
      </c>
      <c r="J368" s="182">
        <v>71</v>
      </c>
      <c r="K368" s="183">
        <v>43</v>
      </c>
      <c r="L368" s="191">
        <f t="shared" si="39"/>
        <v>65.116279069767444</v>
      </c>
      <c r="M368" s="188">
        <f t="shared" si="40"/>
        <v>3.3814515476094091E-2</v>
      </c>
      <c r="N368" s="189">
        <f t="shared" si="41"/>
        <v>2.1012509773260357E-2</v>
      </c>
    </row>
    <row r="369" spans="1:14" collapsed="1">
      <c r="A369" s="180" t="s">
        <v>1308</v>
      </c>
      <c r="B369" s="179" t="s">
        <v>672</v>
      </c>
      <c r="C369" s="186">
        <f t="shared" si="35"/>
        <v>10.526315789473683</v>
      </c>
      <c r="E369" s="182">
        <v>3</v>
      </c>
      <c r="F369" s="183">
        <v>4</v>
      </c>
      <c r="G369" s="191">
        <f t="shared" si="36"/>
        <v>-25</v>
      </c>
      <c r="H369" s="188">
        <f t="shared" si="37"/>
        <v>1.0662875422072152E-2</v>
      </c>
      <c r="I369" s="188">
        <f t="shared" si="38"/>
        <v>1.8142235123367198E-2</v>
      </c>
      <c r="J369" s="182">
        <v>63</v>
      </c>
      <c r="K369" s="183">
        <v>57</v>
      </c>
      <c r="L369" s="191">
        <f t="shared" si="39"/>
        <v>10.526315789473683</v>
      </c>
      <c r="M369" s="188">
        <f t="shared" si="40"/>
        <v>3.0004429225266589E-2</v>
      </c>
      <c r="N369" s="189">
        <f t="shared" si="41"/>
        <v>2.7853792025019548E-2</v>
      </c>
    </row>
    <row r="370" spans="1:14" hidden="1" outlineLevel="1">
      <c r="A370" s="180"/>
      <c r="B370" s="190" t="s">
        <v>672</v>
      </c>
      <c r="C370" s="186">
        <f t="shared" si="35"/>
        <v>7.5</v>
      </c>
      <c r="E370" s="182">
        <v>2</v>
      </c>
      <c r="F370" s="183">
        <v>2</v>
      </c>
      <c r="G370" s="191">
        <f t="shared" si="36"/>
        <v>0</v>
      </c>
      <c r="H370" s="188">
        <f t="shared" si="37"/>
        <v>7.1085836147147686E-3</v>
      </c>
      <c r="I370" s="188">
        <f t="shared" si="38"/>
        <v>9.071117561683599E-3</v>
      </c>
      <c r="J370" s="182">
        <v>43</v>
      </c>
      <c r="K370" s="183">
        <v>40</v>
      </c>
      <c r="L370" s="191">
        <f t="shared" si="39"/>
        <v>7.5</v>
      </c>
      <c r="M370" s="188">
        <f t="shared" si="40"/>
        <v>2.0479213598197828E-2</v>
      </c>
      <c r="N370" s="189">
        <f t="shared" si="41"/>
        <v>1.9546520719311962E-2</v>
      </c>
    </row>
    <row r="371" spans="1:14" hidden="1" outlineLevel="1">
      <c r="A371" s="180"/>
      <c r="B371" s="190">
        <v>812</v>
      </c>
      <c r="C371" s="186">
        <f t="shared" si="35"/>
        <v>55.555555555555557</v>
      </c>
      <c r="E371" s="182">
        <v>0</v>
      </c>
      <c r="F371" s="183">
        <v>2</v>
      </c>
      <c r="G371" s="191">
        <f t="shared" si="36"/>
        <v>-100</v>
      </c>
      <c r="H371" s="188" t="str">
        <f t="shared" si="37"/>
        <v/>
      </c>
      <c r="I371" s="188">
        <f t="shared" si="38"/>
        <v>9.071117561683599E-3</v>
      </c>
      <c r="J371" s="182">
        <v>14</v>
      </c>
      <c r="K371" s="183">
        <v>9</v>
      </c>
      <c r="L371" s="191">
        <f t="shared" si="39"/>
        <v>55.555555555555557</v>
      </c>
      <c r="M371" s="188">
        <f t="shared" si="40"/>
        <v>6.66765093894813E-3</v>
      </c>
      <c r="N371" s="189">
        <f t="shared" si="41"/>
        <v>4.3979671618451909E-3</v>
      </c>
    </row>
    <row r="372" spans="1:14" hidden="1" outlineLevel="1">
      <c r="A372" s="180"/>
      <c r="B372" s="190" t="s">
        <v>965</v>
      </c>
      <c r="C372" s="186">
        <f t="shared" si="35"/>
        <v>-25</v>
      </c>
      <c r="E372" s="182">
        <v>1</v>
      </c>
      <c r="F372" s="183">
        <v>0</v>
      </c>
      <c r="G372" s="191" t="str">
        <f t="shared" si="36"/>
        <v/>
      </c>
      <c r="H372" s="188">
        <f t="shared" si="37"/>
        <v>3.5542918073573843E-3</v>
      </c>
      <c r="I372" s="188" t="str">
        <f t="shared" si="38"/>
        <v/>
      </c>
      <c r="J372" s="182">
        <v>6</v>
      </c>
      <c r="K372" s="183">
        <v>8</v>
      </c>
      <c r="L372" s="191">
        <f t="shared" si="39"/>
        <v>-25</v>
      </c>
      <c r="M372" s="188">
        <f t="shared" si="40"/>
        <v>2.8575646881206273E-3</v>
      </c>
      <c r="N372" s="189">
        <f t="shared" si="41"/>
        <v>3.9093041438623922E-3</v>
      </c>
    </row>
    <row r="373" spans="1:14" collapsed="1">
      <c r="A373" s="180" t="s">
        <v>1309</v>
      </c>
      <c r="B373" s="179" t="s">
        <v>1051</v>
      </c>
      <c r="C373" s="186" t="str">
        <f t="shared" si="35"/>
        <v/>
      </c>
      <c r="E373" s="182">
        <v>8</v>
      </c>
      <c r="F373" s="183">
        <v>0</v>
      </c>
      <c r="G373" s="191" t="str">
        <f t="shared" si="36"/>
        <v/>
      </c>
      <c r="H373" s="188">
        <f t="shared" si="37"/>
        <v>2.8434334458859074E-2</v>
      </c>
      <c r="I373" s="188" t="str">
        <f t="shared" si="38"/>
        <v/>
      </c>
      <c r="J373" s="182">
        <v>58</v>
      </c>
      <c r="K373" s="183">
        <v>0</v>
      </c>
      <c r="L373" s="191" t="str">
        <f t="shared" si="39"/>
        <v/>
      </c>
      <c r="M373" s="188">
        <f t="shared" si="40"/>
        <v>2.7623125318499395E-2</v>
      </c>
      <c r="N373" s="189" t="str">
        <f t="shared" si="41"/>
        <v/>
      </c>
    </row>
    <row r="374" spans="1:14" hidden="1" outlineLevel="1">
      <c r="A374" s="180"/>
      <c r="B374" s="190" t="s">
        <v>1120</v>
      </c>
      <c r="C374" s="186" t="str">
        <f t="shared" si="35"/>
        <v/>
      </c>
      <c r="E374" s="182">
        <v>8</v>
      </c>
      <c r="F374" s="183">
        <v>0</v>
      </c>
      <c r="G374" s="191" t="str">
        <f t="shared" si="36"/>
        <v/>
      </c>
      <c r="H374" s="188">
        <f t="shared" si="37"/>
        <v>2.8434334458859074E-2</v>
      </c>
      <c r="I374" s="188" t="str">
        <f t="shared" si="38"/>
        <v/>
      </c>
      <c r="J374" s="182">
        <v>58</v>
      </c>
      <c r="K374" s="183">
        <v>0</v>
      </c>
      <c r="L374" s="191" t="str">
        <f t="shared" si="39"/>
        <v/>
      </c>
      <c r="M374" s="188">
        <f t="shared" si="40"/>
        <v>2.7623125318499395E-2</v>
      </c>
      <c r="N374" s="189" t="str">
        <f t="shared" si="41"/>
        <v/>
      </c>
    </row>
    <row r="375" spans="1:14" collapsed="1">
      <c r="A375" s="180" t="s">
        <v>1310</v>
      </c>
      <c r="B375" s="179" t="s">
        <v>262</v>
      </c>
      <c r="C375" s="186">
        <f t="shared" si="35"/>
        <v>-3.7037037037037033</v>
      </c>
      <c r="E375" s="182">
        <v>6</v>
      </c>
      <c r="F375" s="183">
        <v>11</v>
      </c>
      <c r="G375" s="191">
        <f t="shared" si="36"/>
        <v>-45.454545454545453</v>
      </c>
      <c r="H375" s="188">
        <f t="shared" si="37"/>
        <v>2.1325750844144304E-2</v>
      </c>
      <c r="I375" s="188">
        <f t="shared" si="38"/>
        <v>4.9891146589259791E-2</v>
      </c>
      <c r="J375" s="182">
        <v>52</v>
      </c>
      <c r="K375" s="183">
        <v>54</v>
      </c>
      <c r="L375" s="191">
        <f t="shared" si="39"/>
        <v>-3.7037037037037033</v>
      </c>
      <c r="M375" s="188">
        <f t="shared" si="40"/>
        <v>2.4765560630378772E-2</v>
      </c>
      <c r="N375" s="189">
        <f t="shared" si="41"/>
        <v>2.6387802971071149E-2</v>
      </c>
    </row>
    <row r="376" spans="1:14" hidden="1" outlineLevel="1">
      <c r="A376" s="180"/>
      <c r="B376" s="190" t="s">
        <v>966</v>
      </c>
      <c r="C376" s="186">
        <f t="shared" si="35"/>
        <v>23.076923076923077</v>
      </c>
      <c r="E376" s="182">
        <v>4</v>
      </c>
      <c r="F376" s="183">
        <v>6</v>
      </c>
      <c r="G376" s="191">
        <f t="shared" si="36"/>
        <v>-33.333333333333329</v>
      </c>
      <c r="H376" s="188">
        <f t="shared" si="37"/>
        <v>1.4217167229429537E-2</v>
      </c>
      <c r="I376" s="188">
        <f t="shared" si="38"/>
        <v>2.7213352685050797E-2</v>
      </c>
      <c r="J376" s="182">
        <v>32</v>
      </c>
      <c r="K376" s="183">
        <v>26</v>
      </c>
      <c r="L376" s="191">
        <f t="shared" si="39"/>
        <v>23.076923076923077</v>
      </c>
      <c r="M376" s="188">
        <f t="shared" si="40"/>
        <v>1.5240345003310013E-2</v>
      </c>
      <c r="N376" s="189">
        <f t="shared" si="41"/>
        <v>1.2705238467552777E-2</v>
      </c>
    </row>
    <row r="377" spans="1:14" hidden="1" outlineLevel="1">
      <c r="A377" s="180"/>
      <c r="B377" s="190" t="s">
        <v>295</v>
      </c>
      <c r="C377" s="186">
        <f t="shared" si="35"/>
        <v>-23.076923076923077</v>
      </c>
      <c r="E377" s="182">
        <v>2</v>
      </c>
      <c r="F377" s="183">
        <v>5</v>
      </c>
      <c r="G377" s="191">
        <f t="shared" si="36"/>
        <v>-60</v>
      </c>
      <c r="H377" s="188">
        <f t="shared" si="37"/>
        <v>7.1085836147147686E-3</v>
      </c>
      <c r="I377" s="188">
        <f t="shared" si="38"/>
        <v>2.2677793904208998E-2</v>
      </c>
      <c r="J377" s="182">
        <v>20</v>
      </c>
      <c r="K377" s="183">
        <v>26</v>
      </c>
      <c r="L377" s="191">
        <f t="shared" si="39"/>
        <v>-23.076923076923077</v>
      </c>
      <c r="M377" s="188">
        <f t="shared" si="40"/>
        <v>9.5252156270687581E-3</v>
      </c>
      <c r="N377" s="189">
        <f t="shared" si="41"/>
        <v>1.2705238467552777E-2</v>
      </c>
    </row>
    <row r="378" spans="1:14" hidden="1" outlineLevel="1">
      <c r="A378" s="180"/>
      <c r="B378" s="190" t="s">
        <v>1171</v>
      </c>
      <c r="C378" s="186">
        <f t="shared" si="35"/>
        <v>-100</v>
      </c>
      <c r="E378" s="182">
        <v>0</v>
      </c>
      <c r="F378" s="183">
        <v>0</v>
      </c>
      <c r="G378" s="191" t="str">
        <f t="shared" si="36"/>
        <v/>
      </c>
      <c r="H378" s="188" t="str">
        <f t="shared" si="37"/>
        <v/>
      </c>
      <c r="I378" s="188" t="str">
        <f t="shared" si="38"/>
        <v/>
      </c>
      <c r="J378" s="182">
        <v>0</v>
      </c>
      <c r="K378" s="183">
        <v>2</v>
      </c>
      <c r="L378" s="191">
        <f t="shared" si="39"/>
        <v>-100</v>
      </c>
      <c r="M378" s="188" t="str">
        <f t="shared" si="40"/>
        <v/>
      </c>
      <c r="N378" s="189">
        <f t="shared" si="41"/>
        <v>9.7732603596559805E-4</v>
      </c>
    </row>
    <row r="379" spans="1:14" collapsed="1">
      <c r="A379" s="180" t="s">
        <v>1311</v>
      </c>
      <c r="B379" s="179" t="s">
        <v>273</v>
      </c>
      <c r="C379" s="186">
        <f t="shared" si="35"/>
        <v>-5.8823529411764701</v>
      </c>
      <c r="E379" s="182">
        <v>6</v>
      </c>
      <c r="F379" s="183">
        <v>6</v>
      </c>
      <c r="G379" s="191">
        <f t="shared" si="36"/>
        <v>0</v>
      </c>
      <c r="H379" s="188">
        <f t="shared" si="37"/>
        <v>2.1325750844144304E-2</v>
      </c>
      <c r="I379" s="188">
        <f t="shared" si="38"/>
        <v>2.7213352685050797E-2</v>
      </c>
      <c r="J379" s="182">
        <v>48</v>
      </c>
      <c r="K379" s="183">
        <v>51</v>
      </c>
      <c r="L379" s="191">
        <f t="shared" si="39"/>
        <v>-5.8823529411764701</v>
      </c>
      <c r="M379" s="188">
        <f t="shared" si="40"/>
        <v>2.2860517504965018E-2</v>
      </c>
      <c r="N379" s="189">
        <f t="shared" si="41"/>
        <v>2.4921813917122754E-2</v>
      </c>
    </row>
    <row r="380" spans="1:14" hidden="1" outlineLevel="1">
      <c r="A380" s="180"/>
      <c r="B380" s="190" t="s">
        <v>273</v>
      </c>
      <c r="C380" s="186">
        <f t="shared" si="35"/>
        <v>-5.8823529411764701</v>
      </c>
      <c r="E380" s="182">
        <v>6</v>
      </c>
      <c r="F380" s="183">
        <v>6</v>
      </c>
      <c r="G380" s="191">
        <f t="shared" si="36"/>
        <v>0</v>
      </c>
      <c r="H380" s="188">
        <f t="shared" si="37"/>
        <v>2.1325750844144304E-2</v>
      </c>
      <c r="I380" s="188">
        <f t="shared" si="38"/>
        <v>2.7213352685050797E-2</v>
      </c>
      <c r="J380" s="182">
        <v>48</v>
      </c>
      <c r="K380" s="183">
        <v>51</v>
      </c>
      <c r="L380" s="191">
        <f t="shared" si="39"/>
        <v>-5.8823529411764701</v>
      </c>
      <c r="M380" s="188">
        <f t="shared" si="40"/>
        <v>2.2860517504965018E-2</v>
      </c>
      <c r="N380" s="189">
        <f t="shared" si="41"/>
        <v>2.4921813917122754E-2</v>
      </c>
    </row>
    <row r="381" spans="1:14" collapsed="1">
      <c r="A381" s="180" t="s">
        <v>1312</v>
      </c>
      <c r="B381" s="179" t="s">
        <v>270</v>
      </c>
      <c r="C381" s="186">
        <f t="shared" si="35"/>
        <v>-48.314606741573037</v>
      </c>
      <c r="E381" s="182">
        <v>3</v>
      </c>
      <c r="F381" s="183">
        <v>4</v>
      </c>
      <c r="G381" s="191">
        <f t="shared" si="36"/>
        <v>-25</v>
      </c>
      <c r="H381" s="188">
        <f t="shared" si="37"/>
        <v>1.0662875422072152E-2</v>
      </c>
      <c r="I381" s="188">
        <f t="shared" si="38"/>
        <v>1.8142235123367198E-2</v>
      </c>
      <c r="J381" s="182">
        <v>46</v>
      </c>
      <c r="K381" s="183">
        <v>89</v>
      </c>
      <c r="L381" s="191">
        <f t="shared" si="39"/>
        <v>-48.314606741573037</v>
      </c>
      <c r="M381" s="188">
        <f t="shared" si="40"/>
        <v>2.1907995942258143E-2</v>
      </c>
      <c r="N381" s="189">
        <f t="shared" si="41"/>
        <v>4.3491008600469117E-2</v>
      </c>
    </row>
    <row r="382" spans="1:14" hidden="1" outlineLevel="1">
      <c r="A382" s="180"/>
      <c r="B382" s="190" t="s">
        <v>960</v>
      </c>
      <c r="C382" s="186">
        <f t="shared" si="35"/>
        <v>-59.649122807017541</v>
      </c>
      <c r="E382" s="182">
        <v>2</v>
      </c>
      <c r="F382" s="183">
        <v>2</v>
      </c>
      <c r="G382" s="191">
        <f t="shared" si="36"/>
        <v>0</v>
      </c>
      <c r="H382" s="188">
        <f t="shared" si="37"/>
        <v>7.1085836147147686E-3</v>
      </c>
      <c r="I382" s="188">
        <f t="shared" si="38"/>
        <v>9.071117561683599E-3</v>
      </c>
      <c r="J382" s="182">
        <v>23</v>
      </c>
      <c r="K382" s="183">
        <v>57</v>
      </c>
      <c r="L382" s="191">
        <f t="shared" si="39"/>
        <v>-59.649122807017541</v>
      </c>
      <c r="M382" s="188">
        <f t="shared" si="40"/>
        <v>1.0953997971129071E-2</v>
      </c>
      <c r="N382" s="189">
        <f t="shared" si="41"/>
        <v>2.7853792025019548E-2</v>
      </c>
    </row>
    <row r="383" spans="1:14" hidden="1" outlineLevel="1">
      <c r="A383" s="180"/>
      <c r="B383" s="190" t="s">
        <v>1117</v>
      </c>
      <c r="C383" s="186">
        <f t="shared" si="35"/>
        <v>-31.25</v>
      </c>
      <c r="E383" s="182">
        <v>1</v>
      </c>
      <c r="F383" s="183">
        <v>1</v>
      </c>
      <c r="G383" s="191">
        <f t="shared" si="36"/>
        <v>0</v>
      </c>
      <c r="H383" s="188">
        <f t="shared" si="37"/>
        <v>3.5542918073573843E-3</v>
      </c>
      <c r="I383" s="188">
        <f t="shared" si="38"/>
        <v>4.5355587808417995E-3</v>
      </c>
      <c r="J383" s="182">
        <v>11</v>
      </c>
      <c r="K383" s="183">
        <v>16</v>
      </c>
      <c r="L383" s="191">
        <f t="shared" si="39"/>
        <v>-31.25</v>
      </c>
      <c r="M383" s="188">
        <f t="shared" si="40"/>
        <v>5.2388685948878168E-3</v>
      </c>
      <c r="N383" s="189">
        <f t="shared" si="41"/>
        <v>7.8186082877247844E-3</v>
      </c>
    </row>
    <row r="384" spans="1:14" hidden="1" outlineLevel="1">
      <c r="A384" s="180"/>
      <c r="B384" s="190" t="s">
        <v>1118</v>
      </c>
      <c r="C384" s="186">
        <f t="shared" si="35"/>
        <v>-9.0909090909090917</v>
      </c>
      <c r="E384" s="182">
        <v>0</v>
      </c>
      <c r="F384" s="183">
        <v>1</v>
      </c>
      <c r="G384" s="191">
        <f t="shared" si="36"/>
        <v>-100</v>
      </c>
      <c r="H384" s="188" t="str">
        <f t="shared" si="37"/>
        <v/>
      </c>
      <c r="I384" s="188">
        <f t="shared" si="38"/>
        <v>4.5355587808417995E-3</v>
      </c>
      <c r="J384" s="182">
        <v>10</v>
      </c>
      <c r="K384" s="183">
        <v>11</v>
      </c>
      <c r="L384" s="191">
        <f t="shared" si="39"/>
        <v>-9.0909090909090917</v>
      </c>
      <c r="M384" s="188">
        <f t="shared" si="40"/>
        <v>4.7626078135343791E-3</v>
      </c>
      <c r="N384" s="189">
        <f t="shared" si="41"/>
        <v>5.3752931978107901E-3</v>
      </c>
    </row>
    <row r="385" spans="1:14" hidden="1" outlineLevel="1">
      <c r="A385" s="180"/>
      <c r="B385" s="190" t="s">
        <v>961</v>
      </c>
      <c r="C385" s="186">
        <f t="shared" si="35"/>
        <v>-66.666666666666657</v>
      </c>
      <c r="E385" s="182">
        <v>0</v>
      </c>
      <c r="F385" s="183">
        <v>0</v>
      </c>
      <c r="G385" s="191" t="str">
        <f t="shared" si="36"/>
        <v/>
      </c>
      <c r="H385" s="188" t="str">
        <f t="shared" si="37"/>
        <v/>
      </c>
      <c r="I385" s="188" t="str">
        <f t="shared" si="38"/>
        <v/>
      </c>
      <c r="J385" s="182">
        <v>1</v>
      </c>
      <c r="K385" s="183">
        <v>3</v>
      </c>
      <c r="L385" s="191">
        <f t="shared" si="39"/>
        <v>-66.666666666666657</v>
      </c>
      <c r="M385" s="188">
        <f t="shared" si="40"/>
        <v>4.7626078135343789E-4</v>
      </c>
      <c r="N385" s="189">
        <f t="shared" si="41"/>
        <v>1.4659890539483972E-3</v>
      </c>
    </row>
    <row r="386" spans="1:14" hidden="1" outlineLevel="1">
      <c r="A386" s="180"/>
      <c r="B386" s="190" t="s">
        <v>1119</v>
      </c>
      <c r="C386" s="186">
        <f t="shared" si="35"/>
        <v>0</v>
      </c>
      <c r="E386" s="182">
        <v>0</v>
      </c>
      <c r="F386" s="183">
        <v>0</v>
      </c>
      <c r="G386" s="191" t="str">
        <f t="shared" si="36"/>
        <v/>
      </c>
      <c r="H386" s="188" t="str">
        <f t="shared" si="37"/>
        <v/>
      </c>
      <c r="I386" s="188" t="str">
        <f t="shared" si="38"/>
        <v/>
      </c>
      <c r="J386" s="182">
        <v>1</v>
      </c>
      <c r="K386" s="183">
        <v>1</v>
      </c>
      <c r="L386" s="191">
        <f t="shared" si="39"/>
        <v>0</v>
      </c>
      <c r="M386" s="188">
        <f t="shared" si="40"/>
        <v>4.7626078135343789E-4</v>
      </c>
      <c r="N386" s="189">
        <f t="shared" si="41"/>
        <v>4.8866301798279903E-4</v>
      </c>
    </row>
    <row r="387" spans="1:14" hidden="1" outlineLevel="1">
      <c r="A387" s="180"/>
      <c r="B387" s="190" t="s">
        <v>1170</v>
      </c>
      <c r="C387" s="186">
        <f t="shared" si="35"/>
        <v>-100</v>
      </c>
      <c r="E387" s="182">
        <v>0</v>
      </c>
      <c r="F387" s="183">
        <v>0</v>
      </c>
      <c r="G387" s="191" t="str">
        <f t="shared" si="36"/>
        <v/>
      </c>
      <c r="H387" s="188" t="str">
        <f t="shared" si="37"/>
        <v/>
      </c>
      <c r="I387" s="188" t="str">
        <f t="shared" si="38"/>
        <v/>
      </c>
      <c r="J387" s="182">
        <v>0</v>
      </c>
      <c r="K387" s="183">
        <v>1</v>
      </c>
      <c r="L387" s="191">
        <f t="shared" si="39"/>
        <v>-100</v>
      </c>
      <c r="M387" s="188" t="str">
        <f t="shared" si="40"/>
        <v/>
      </c>
      <c r="N387" s="189">
        <f t="shared" si="41"/>
        <v>4.8866301798279903E-4</v>
      </c>
    </row>
    <row r="388" spans="1:14" collapsed="1">
      <c r="A388" s="180" t="s">
        <v>1313</v>
      </c>
      <c r="B388" s="179" t="s">
        <v>269</v>
      </c>
      <c r="C388" s="186">
        <f t="shared" si="35"/>
        <v>-21.052631578947366</v>
      </c>
      <c r="E388" s="182">
        <v>2</v>
      </c>
      <c r="F388" s="183">
        <v>3</v>
      </c>
      <c r="G388" s="191">
        <f t="shared" si="36"/>
        <v>-33.333333333333329</v>
      </c>
      <c r="H388" s="188">
        <f t="shared" si="37"/>
        <v>7.1085836147147686E-3</v>
      </c>
      <c r="I388" s="188">
        <f t="shared" si="38"/>
        <v>1.3606676342525399E-2</v>
      </c>
      <c r="J388" s="182">
        <v>30</v>
      </c>
      <c r="K388" s="183">
        <v>38</v>
      </c>
      <c r="L388" s="191">
        <f t="shared" si="39"/>
        <v>-21.052631578947366</v>
      </c>
      <c r="M388" s="188">
        <f t="shared" si="40"/>
        <v>1.4287823440603137E-2</v>
      </c>
      <c r="N388" s="189">
        <f t="shared" si="41"/>
        <v>1.8569194683346363E-2</v>
      </c>
    </row>
    <row r="389" spans="1:14" hidden="1" outlineLevel="1">
      <c r="A389" s="180"/>
      <c r="B389" s="190" t="s">
        <v>968</v>
      </c>
      <c r="C389" s="186">
        <f t="shared" si="35"/>
        <v>-21.052631578947366</v>
      </c>
      <c r="E389" s="182">
        <v>2</v>
      </c>
      <c r="F389" s="183">
        <v>3</v>
      </c>
      <c r="G389" s="191">
        <f t="shared" si="36"/>
        <v>-33.333333333333329</v>
      </c>
      <c r="H389" s="188">
        <f t="shared" si="37"/>
        <v>7.1085836147147686E-3</v>
      </c>
      <c r="I389" s="188">
        <f t="shared" si="38"/>
        <v>1.3606676342525399E-2</v>
      </c>
      <c r="J389" s="182">
        <v>30</v>
      </c>
      <c r="K389" s="183">
        <v>38</v>
      </c>
      <c r="L389" s="191">
        <f t="shared" si="39"/>
        <v>-21.052631578947366</v>
      </c>
      <c r="M389" s="188">
        <f t="shared" si="40"/>
        <v>1.4287823440603137E-2</v>
      </c>
      <c r="N389" s="189">
        <f t="shared" si="41"/>
        <v>1.8569194683346363E-2</v>
      </c>
    </row>
    <row r="390" spans="1:14" collapsed="1">
      <c r="A390" s="180" t="s">
        <v>1261</v>
      </c>
      <c r="B390" s="179" t="s">
        <v>260</v>
      </c>
      <c r="C390" s="186">
        <f t="shared" si="35"/>
        <v>13.636363636363635</v>
      </c>
      <c r="E390" s="182">
        <v>2</v>
      </c>
      <c r="F390" s="183">
        <v>1</v>
      </c>
      <c r="G390" s="191">
        <f t="shared" si="36"/>
        <v>100</v>
      </c>
      <c r="H390" s="188">
        <f t="shared" si="37"/>
        <v>7.1085836147147686E-3</v>
      </c>
      <c r="I390" s="188">
        <f t="shared" si="38"/>
        <v>4.5355587808417995E-3</v>
      </c>
      <c r="J390" s="182">
        <v>25</v>
      </c>
      <c r="K390" s="183">
        <v>22</v>
      </c>
      <c r="L390" s="191">
        <f t="shared" si="39"/>
        <v>13.636363636363635</v>
      </c>
      <c r="M390" s="188">
        <f t="shared" si="40"/>
        <v>1.1906519533835947E-2</v>
      </c>
      <c r="N390" s="189">
        <f t="shared" si="41"/>
        <v>1.075058639562158E-2</v>
      </c>
    </row>
    <row r="391" spans="1:14" hidden="1" outlineLevel="1">
      <c r="A391" s="180"/>
      <c r="B391" s="190" t="s">
        <v>970</v>
      </c>
      <c r="C391" s="186">
        <f t="shared" si="35"/>
        <v>62.5</v>
      </c>
      <c r="E391" s="182">
        <v>1</v>
      </c>
      <c r="F391" s="183">
        <v>1</v>
      </c>
      <c r="G391" s="191">
        <f t="shared" si="36"/>
        <v>0</v>
      </c>
      <c r="H391" s="188">
        <f t="shared" si="37"/>
        <v>3.5542918073573843E-3</v>
      </c>
      <c r="I391" s="188">
        <f t="shared" si="38"/>
        <v>4.5355587808417995E-3</v>
      </c>
      <c r="J391" s="182">
        <v>13</v>
      </c>
      <c r="K391" s="183">
        <v>8</v>
      </c>
      <c r="L391" s="191">
        <f t="shared" si="39"/>
        <v>62.5</v>
      </c>
      <c r="M391" s="188">
        <f t="shared" si="40"/>
        <v>6.1913901575946931E-3</v>
      </c>
      <c r="N391" s="189">
        <f t="shared" si="41"/>
        <v>3.9093041438623922E-3</v>
      </c>
    </row>
    <row r="392" spans="1:14" hidden="1" outlineLevel="1">
      <c r="A392" s="180"/>
      <c r="B392" s="190" t="s">
        <v>969</v>
      </c>
      <c r="C392" s="186">
        <f t="shared" si="35"/>
        <v>9.0909090909090917</v>
      </c>
      <c r="E392" s="182">
        <v>1</v>
      </c>
      <c r="F392" s="183">
        <v>0</v>
      </c>
      <c r="G392" s="191" t="str">
        <f t="shared" si="36"/>
        <v/>
      </c>
      <c r="H392" s="188">
        <f t="shared" si="37"/>
        <v>3.5542918073573843E-3</v>
      </c>
      <c r="I392" s="188" t="str">
        <f t="shared" si="38"/>
        <v/>
      </c>
      <c r="J392" s="182">
        <v>12</v>
      </c>
      <c r="K392" s="183">
        <v>11</v>
      </c>
      <c r="L392" s="191">
        <f t="shared" si="39"/>
        <v>9.0909090909090917</v>
      </c>
      <c r="M392" s="188">
        <f t="shared" si="40"/>
        <v>5.7151293762412545E-3</v>
      </c>
      <c r="N392" s="189">
        <f t="shared" si="41"/>
        <v>5.3752931978107901E-3</v>
      </c>
    </row>
    <row r="393" spans="1:14" hidden="1" outlineLevel="1">
      <c r="A393" s="180"/>
      <c r="B393" s="190" t="s">
        <v>1230</v>
      </c>
      <c r="C393" s="186">
        <f t="shared" si="35"/>
        <v>-100</v>
      </c>
      <c r="E393" s="182">
        <v>0</v>
      </c>
      <c r="F393" s="183">
        <v>0</v>
      </c>
      <c r="G393" s="191" t="str">
        <f t="shared" si="36"/>
        <v/>
      </c>
      <c r="H393" s="188" t="str">
        <f t="shared" si="37"/>
        <v/>
      </c>
      <c r="I393" s="188" t="str">
        <f t="shared" si="38"/>
        <v/>
      </c>
      <c r="J393" s="182">
        <v>0</v>
      </c>
      <c r="K393" s="183">
        <v>3</v>
      </c>
      <c r="L393" s="191">
        <f t="shared" si="39"/>
        <v>-100</v>
      </c>
      <c r="M393" s="188" t="str">
        <f t="shared" si="40"/>
        <v/>
      </c>
      <c r="N393" s="189">
        <f t="shared" si="41"/>
        <v>1.4659890539483972E-3</v>
      </c>
    </row>
    <row r="394" spans="1:14" collapsed="1">
      <c r="A394" s="180" t="s">
        <v>1314</v>
      </c>
      <c r="B394" s="179" t="s">
        <v>1212</v>
      </c>
      <c r="C394" s="186" t="str">
        <f t="shared" ref="C394:C418" si="42">IF(K394=0,"",SUM(((J394-K394)/K394)*100))</f>
        <v/>
      </c>
      <c r="E394" s="182">
        <v>8</v>
      </c>
      <c r="F394" s="183">
        <v>0</v>
      </c>
      <c r="G394" s="191" t="str">
        <f t="shared" ref="G394:G418" si="43">IF(F394=0,"",SUM(((E394-F394)/F394)*100))</f>
        <v/>
      </c>
      <c r="H394" s="188">
        <f t="shared" ref="H394:H418" si="44">IF(E394=0,"",SUM((E394/CntPeriod)*100))</f>
        <v>2.8434334458859074E-2</v>
      </c>
      <c r="I394" s="188" t="str">
        <f t="shared" ref="I394:I418" si="45">IF(F394=0,"",SUM((F394/CntPeriodPrevYear)*100))</f>
        <v/>
      </c>
      <c r="J394" s="182">
        <v>20</v>
      </c>
      <c r="K394" s="183">
        <v>0</v>
      </c>
      <c r="L394" s="191" t="str">
        <f t="shared" ref="L394:L418" si="46">IF(K394=0,"",SUM(((J394-K394)/K394)*100))</f>
        <v/>
      </c>
      <c r="M394" s="188">
        <f t="shared" ref="M394:M418" si="47">IF(J394=0,"",SUM((J394/CntYearAck)*100))</f>
        <v>9.5252156270687581E-3</v>
      </c>
      <c r="N394" s="189" t="str">
        <f t="shared" ref="N394:N418" si="48">IF(K394=0,"",SUM((K394/CntPrevYearAck)*100))</f>
        <v/>
      </c>
    </row>
    <row r="395" spans="1:14" hidden="1" outlineLevel="1">
      <c r="A395" s="180"/>
      <c r="B395" s="190" t="s">
        <v>1222</v>
      </c>
      <c r="C395" s="186" t="str">
        <f t="shared" si="42"/>
        <v/>
      </c>
      <c r="E395" s="182">
        <v>8</v>
      </c>
      <c r="F395" s="183">
        <v>0</v>
      </c>
      <c r="G395" s="191" t="str">
        <f t="shared" si="43"/>
        <v/>
      </c>
      <c r="H395" s="188">
        <f t="shared" si="44"/>
        <v>2.8434334458859074E-2</v>
      </c>
      <c r="I395" s="188" t="str">
        <f t="shared" si="45"/>
        <v/>
      </c>
      <c r="J395" s="182">
        <v>20</v>
      </c>
      <c r="K395" s="183">
        <v>0</v>
      </c>
      <c r="L395" s="191" t="str">
        <f t="shared" si="46"/>
        <v/>
      </c>
      <c r="M395" s="188">
        <f t="shared" si="47"/>
        <v>9.5252156270687581E-3</v>
      </c>
      <c r="N395" s="189" t="str">
        <f t="shared" si="48"/>
        <v/>
      </c>
    </row>
    <row r="396" spans="1:14" collapsed="1">
      <c r="A396" s="180" t="s">
        <v>1315</v>
      </c>
      <c r="B396" s="179" t="s">
        <v>971</v>
      </c>
      <c r="C396" s="186">
        <f t="shared" si="42"/>
        <v>7.6923076923076925</v>
      </c>
      <c r="E396" s="182">
        <v>0</v>
      </c>
      <c r="F396" s="183">
        <v>0</v>
      </c>
      <c r="G396" s="191" t="str">
        <f t="shared" si="43"/>
        <v/>
      </c>
      <c r="H396" s="188" t="str">
        <f t="shared" si="44"/>
        <v/>
      </c>
      <c r="I396" s="188" t="str">
        <f t="shared" si="45"/>
        <v/>
      </c>
      <c r="J396" s="182">
        <v>14</v>
      </c>
      <c r="K396" s="183">
        <v>13</v>
      </c>
      <c r="L396" s="191">
        <f t="shared" si="46"/>
        <v>7.6923076923076925</v>
      </c>
      <c r="M396" s="188">
        <f t="shared" si="47"/>
        <v>6.66765093894813E-3</v>
      </c>
      <c r="N396" s="189">
        <f t="shared" si="48"/>
        <v>6.3526192337763883E-3</v>
      </c>
    </row>
    <row r="397" spans="1:14" hidden="1" outlineLevel="1">
      <c r="A397" s="180"/>
      <c r="B397" s="190" t="s">
        <v>971</v>
      </c>
      <c r="C397" s="186">
        <f t="shared" si="42"/>
        <v>7.6923076923076925</v>
      </c>
      <c r="E397" s="182">
        <v>0</v>
      </c>
      <c r="F397" s="183">
        <v>0</v>
      </c>
      <c r="G397" s="191" t="str">
        <f t="shared" si="43"/>
        <v/>
      </c>
      <c r="H397" s="188" t="str">
        <f t="shared" si="44"/>
        <v/>
      </c>
      <c r="I397" s="188" t="str">
        <f t="shared" si="45"/>
        <v/>
      </c>
      <c r="J397" s="182">
        <v>14</v>
      </c>
      <c r="K397" s="183">
        <v>13</v>
      </c>
      <c r="L397" s="191">
        <f t="shared" si="46"/>
        <v>7.6923076923076925</v>
      </c>
      <c r="M397" s="188">
        <f t="shared" si="47"/>
        <v>6.66765093894813E-3</v>
      </c>
      <c r="N397" s="189">
        <f t="shared" si="48"/>
        <v>6.3526192337763883E-3</v>
      </c>
    </row>
    <row r="398" spans="1:14" collapsed="1">
      <c r="A398" s="180" t="s">
        <v>1316</v>
      </c>
      <c r="B398" s="179" t="s">
        <v>671</v>
      </c>
      <c r="C398" s="186">
        <f t="shared" si="42"/>
        <v>9.0909090909090917</v>
      </c>
      <c r="E398" s="182">
        <v>2</v>
      </c>
      <c r="F398" s="183">
        <v>2</v>
      </c>
      <c r="G398" s="191">
        <f t="shared" si="43"/>
        <v>0</v>
      </c>
      <c r="H398" s="188">
        <f t="shared" si="44"/>
        <v>7.1085836147147686E-3</v>
      </c>
      <c r="I398" s="188">
        <f t="shared" si="45"/>
        <v>9.071117561683599E-3</v>
      </c>
      <c r="J398" s="182">
        <v>12</v>
      </c>
      <c r="K398" s="183">
        <v>11</v>
      </c>
      <c r="L398" s="191">
        <f t="shared" si="46"/>
        <v>9.0909090909090917</v>
      </c>
      <c r="M398" s="188">
        <f t="shared" si="47"/>
        <v>5.7151293762412545E-3</v>
      </c>
      <c r="N398" s="189">
        <f t="shared" si="48"/>
        <v>5.3752931978107901E-3</v>
      </c>
    </row>
    <row r="399" spans="1:14" hidden="1" outlineLevel="1">
      <c r="A399" s="180"/>
      <c r="B399" s="190" t="s">
        <v>973</v>
      </c>
      <c r="C399" s="186">
        <f t="shared" si="42"/>
        <v>20</v>
      </c>
      <c r="E399" s="182">
        <v>2</v>
      </c>
      <c r="F399" s="183">
        <v>2</v>
      </c>
      <c r="G399" s="191">
        <f t="shared" si="43"/>
        <v>0</v>
      </c>
      <c r="H399" s="188">
        <f t="shared" si="44"/>
        <v>7.1085836147147686E-3</v>
      </c>
      <c r="I399" s="188">
        <f t="shared" si="45"/>
        <v>9.071117561683599E-3</v>
      </c>
      <c r="J399" s="182">
        <v>12</v>
      </c>
      <c r="K399" s="183">
        <v>10</v>
      </c>
      <c r="L399" s="191">
        <f t="shared" si="46"/>
        <v>20</v>
      </c>
      <c r="M399" s="188">
        <f t="shared" si="47"/>
        <v>5.7151293762412545E-3</v>
      </c>
      <c r="N399" s="189">
        <f t="shared" si="48"/>
        <v>4.8866301798279905E-3</v>
      </c>
    </row>
    <row r="400" spans="1:14" hidden="1" outlineLevel="1">
      <c r="A400" s="180"/>
      <c r="B400" s="190" t="s">
        <v>1202</v>
      </c>
      <c r="C400" s="186">
        <f t="shared" si="42"/>
        <v>-100</v>
      </c>
      <c r="E400" s="182">
        <v>0</v>
      </c>
      <c r="F400" s="183">
        <v>0</v>
      </c>
      <c r="G400" s="191" t="str">
        <f t="shared" si="43"/>
        <v/>
      </c>
      <c r="H400" s="188" t="str">
        <f t="shared" si="44"/>
        <v/>
      </c>
      <c r="I400" s="188" t="str">
        <f t="shared" si="45"/>
        <v/>
      </c>
      <c r="J400" s="182">
        <v>0</v>
      </c>
      <c r="K400" s="183">
        <v>1</v>
      </c>
      <c r="L400" s="191">
        <f t="shared" si="46"/>
        <v>-100</v>
      </c>
      <c r="M400" s="188" t="str">
        <f t="shared" si="47"/>
        <v/>
      </c>
      <c r="N400" s="189">
        <f t="shared" si="48"/>
        <v>4.8866301798279903E-4</v>
      </c>
    </row>
    <row r="401" spans="1:14" collapsed="1">
      <c r="A401" s="180" t="s">
        <v>1262</v>
      </c>
      <c r="B401" s="179" t="s">
        <v>281</v>
      </c>
      <c r="C401" s="186">
        <f t="shared" si="42"/>
        <v>-50</v>
      </c>
      <c r="E401" s="182">
        <v>1</v>
      </c>
      <c r="F401" s="183">
        <v>0</v>
      </c>
      <c r="G401" s="191" t="str">
        <f t="shared" si="43"/>
        <v/>
      </c>
      <c r="H401" s="188">
        <f t="shared" si="44"/>
        <v>3.5542918073573843E-3</v>
      </c>
      <c r="I401" s="188" t="str">
        <f t="shared" si="45"/>
        <v/>
      </c>
      <c r="J401" s="182">
        <v>8</v>
      </c>
      <c r="K401" s="183">
        <v>16</v>
      </c>
      <c r="L401" s="191">
        <f t="shared" si="46"/>
        <v>-50</v>
      </c>
      <c r="M401" s="188">
        <f t="shared" si="47"/>
        <v>3.8100862508275032E-3</v>
      </c>
      <c r="N401" s="189">
        <f t="shared" si="48"/>
        <v>7.8186082877247844E-3</v>
      </c>
    </row>
    <row r="402" spans="1:14" hidden="1" outlineLevel="1">
      <c r="A402" s="180"/>
      <c r="B402" s="190" t="s">
        <v>281</v>
      </c>
      <c r="C402" s="186">
        <f t="shared" si="42"/>
        <v>-50</v>
      </c>
      <c r="E402" s="182">
        <v>1</v>
      </c>
      <c r="F402" s="183">
        <v>0</v>
      </c>
      <c r="G402" s="191" t="str">
        <f t="shared" si="43"/>
        <v/>
      </c>
      <c r="H402" s="188">
        <f t="shared" si="44"/>
        <v>3.5542918073573843E-3</v>
      </c>
      <c r="I402" s="188" t="str">
        <f t="shared" si="45"/>
        <v/>
      </c>
      <c r="J402" s="182">
        <v>8</v>
      </c>
      <c r="K402" s="183">
        <v>16</v>
      </c>
      <c r="L402" s="191">
        <f t="shared" si="46"/>
        <v>-50</v>
      </c>
      <c r="M402" s="188">
        <f t="shared" si="47"/>
        <v>3.8100862508275032E-3</v>
      </c>
      <c r="N402" s="189">
        <f t="shared" si="48"/>
        <v>7.8186082877247844E-3</v>
      </c>
    </row>
    <row r="403" spans="1:14" collapsed="1">
      <c r="A403" s="180" t="s">
        <v>1317</v>
      </c>
      <c r="B403" s="179" t="s">
        <v>552</v>
      </c>
      <c r="C403" s="186">
        <f t="shared" si="42"/>
        <v>-50</v>
      </c>
      <c r="E403" s="182">
        <v>1</v>
      </c>
      <c r="F403" s="183">
        <v>2</v>
      </c>
      <c r="G403" s="191">
        <f t="shared" si="43"/>
        <v>-50</v>
      </c>
      <c r="H403" s="188">
        <f t="shared" si="44"/>
        <v>3.5542918073573843E-3</v>
      </c>
      <c r="I403" s="188">
        <f t="shared" si="45"/>
        <v>9.071117561683599E-3</v>
      </c>
      <c r="J403" s="182">
        <v>5</v>
      </c>
      <c r="K403" s="183">
        <v>10</v>
      </c>
      <c r="L403" s="191">
        <f t="shared" si="46"/>
        <v>-50</v>
      </c>
      <c r="M403" s="188">
        <f t="shared" si="47"/>
        <v>2.3813039067671895E-3</v>
      </c>
      <c r="N403" s="189">
        <f t="shared" si="48"/>
        <v>4.8866301798279905E-3</v>
      </c>
    </row>
    <row r="404" spans="1:14" hidden="1" outlineLevel="1">
      <c r="A404" s="180"/>
      <c r="B404" s="190" t="s">
        <v>972</v>
      </c>
      <c r="C404" s="186">
        <f t="shared" si="42"/>
        <v>-50</v>
      </c>
      <c r="E404" s="182">
        <v>1</v>
      </c>
      <c r="F404" s="183">
        <v>2</v>
      </c>
      <c r="G404" s="191">
        <f t="shared" si="43"/>
        <v>-50</v>
      </c>
      <c r="H404" s="188">
        <f t="shared" si="44"/>
        <v>3.5542918073573843E-3</v>
      </c>
      <c r="I404" s="188">
        <f t="shared" si="45"/>
        <v>9.071117561683599E-3</v>
      </c>
      <c r="J404" s="182">
        <v>5</v>
      </c>
      <c r="K404" s="183">
        <v>10</v>
      </c>
      <c r="L404" s="191">
        <f t="shared" si="46"/>
        <v>-50</v>
      </c>
      <c r="M404" s="188">
        <f t="shared" si="47"/>
        <v>2.3813039067671895E-3</v>
      </c>
      <c r="N404" s="189">
        <f t="shared" si="48"/>
        <v>4.8866301798279905E-3</v>
      </c>
    </row>
    <row r="405" spans="1:14" collapsed="1">
      <c r="A405" s="180" t="s">
        <v>1318</v>
      </c>
      <c r="B405" s="179" t="s">
        <v>1123</v>
      </c>
      <c r="C405" s="186" t="str">
        <f t="shared" si="42"/>
        <v/>
      </c>
      <c r="E405" s="182">
        <v>0</v>
      </c>
      <c r="F405" s="183">
        <v>0</v>
      </c>
      <c r="G405" s="191" t="str">
        <f t="shared" si="43"/>
        <v/>
      </c>
      <c r="H405" s="188" t="str">
        <f t="shared" si="44"/>
        <v/>
      </c>
      <c r="I405" s="188" t="str">
        <f t="shared" si="45"/>
        <v/>
      </c>
      <c r="J405" s="182">
        <v>5</v>
      </c>
      <c r="K405" s="183">
        <v>0</v>
      </c>
      <c r="L405" s="191" t="str">
        <f t="shared" si="46"/>
        <v/>
      </c>
      <c r="M405" s="188">
        <f t="shared" si="47"/>
        <v>2.3813039067671895E-3</v>
      </c>
      <c r="N405" s="189" t="str">
        <f t="shared" si="48"/>
        <v/>
      </c>
    </row>
    <row r="406" spans="1:14" hidden="1" outlineLevel="1">
      <c r="A406" s="180"/>
      <c r="B406" s="190" t="s">
        <v>1124</v>
      </c>
      <c r="C406" s="186" t="str">
        <f t="shared" si="42"/>
        <v/>
      </c>
      <c r="E406" s="182">
        <v>0</v>
      </c>
      <c r="F406" s="183">
        <v>0</v>
      </c>
      <c r="G406" s="191" t="str">
        <f t="shared" si="43"/>
        <v/>
      </c>
      <c r="H406" s="188" t="str">
        <f t="shared" si="44"/>
        <v/>
      </c>
      <c r="I406" s="188" t="str">
        <f t="shared" si="45"/>
        <v/>
      </c>
      <c r="J406" s="182">
        <v>5</v>
      </c>
      <c r="K406" s="183">
        <v>0</v>
      </c>
      <c r="L406" s="191" t="str">
        <f t="shared" si="46"/>
        <v/>
      </c>
      <c r="M406" s="188">
        <f t="shared" si="47"/>
        <v>2.3813039067671895E-3</v>
      </c>
      <c r="N406" s="189" t="str">
        <f t="shared" si="48"/>
        <v/>
      </c>
    </row>
    <row r="407" spans="1:14" collapsed="1">
      <c r="A407" s="180" t="s">
        <v>1231</v>
      </c>
      <c r="B407" s="179" t="s">
        <v>1161</v>
      </c>
      <c r="C407" s="186">
        <f t="shared" si="42"/>
        <v>300</v>
      </c>
      <c r="E407" s="182">
        <v>2</v>
      </c>
      <c r="F407" s="183">
        <v>0</v>
      </c>
      <c r="G407" s="191" t="str">
        <f t="shared" si="43"/>
        <v/>
      </c>
      <c r="H407" s="188">
        <f t="shared" si="44"/>
        <v>7.1085836147147686E-3</v>
      </c>
      <c r="I407" s="188" t="str">
        <f t="shared" si="45"/>
        <v/>
      </c>
      <c r="J407" s="182">
        <v>4</v>
      </c>
      <c r="K407" s="183">
        <v>1</v>
      </c>
      <c r="L407" s="191">
        <f t="shared" si="46"/>
        <v>300</v>
      </c>
      <c r="M407" s="188">
        <f t="shared" si="47"/>
        <v>1.9050431254137516E-3</v>
      </c>
      <c r="N407" s="189">
        <f t="shared" si="48"/>
        <v>4.8866301798279903E-4</v>
      </c>
    </row>
    <row r="408" spans="1:14" hidden="1" outlineLevel="1">
      <c r="A408" s="180"/>
      <c r="B408" s="190" t="s">
        <v>1161</v>
      </c>
      <c r="C408" s="186">
        <f t="shared" si="42"/>
        <v>300</v>
      </c>
      <c r="E408" s="182">
        <v>2</v>
      </c>
      <c r="F408" s="183">
        <v>0</v>
      </c>
      <c r="G408" s="191" t="str">
        <f t="shared" si="43"/>
        <v/>
      </c>
      <c r="H408" s="188">
        <f t="shared" si="44"/>
        <v>7.1085836147147686E-3</v>
      </c>
      <c r="I408" s="188" t="str">
        <f t="shared" si="45"/>
        <v/>
      </c>
      <c r="J408" s="182">
        <v>4</v>
      </c>
      <c r="K408" s="183">
        <v>1</v>
      </c>
      <c r="L408" s="191">
        <f t="shared" si="46"/>
        <v>300</v>
      </c>
      <c r="M408" s="188">
        <f t="shared" si="47"/>
        <v>1.9050431254137516E-3</v>
      </c>
      <c r="N408" s="189">
        <f t="shared" si="48"/>
        <v>4.8866301798279903E-4</v>
      </c>
    </row>
    <row r="409" spans="1:14" collapsed="1">
      <c r="A409" s="180" t="s">
        <v>1319</v>
      </c>
      <c r="B409" s="179" t="s">
        <v>1320</v>
      </c>
      <c r="C409" s="186" t="str">
        <f t="shared" si="42"/>
        <v/>
      </c>
      <c r="E409" s="182">
        <v>2</v>
      </c>
      <c r="F409" s="183">
        <v>0</v>
      </c>
      <c r="G409" s="191" t="str">
        <f t="shared" si="43"/>
        <v/>
      </c>
      <c r="H409" s="188">
        <f t="shared" si="44"/>
        <v>7.1085836147147686E-3</v>
      </c>
      <c r="I409" s="188" t="str">
        <f t="shared" si="45"/>
        <v/>
      </c>
      <c r="J409" s="182">
        <v>2</v>
      </c>
      <c r="K409" s="183">
        <v>0</v>
      </c>
      <c r="L409" s="191" t="str">
        <f t="shared" si="46"/>
        <v/>
      </c>
      <c r="M409" s="188">
        <f t="shared" si="47"/>
        <v>9.5252156270687579E-4</v>
      </c>
      <c r="N409" s="189" t="str">
        <f t="shared" si="48"/>
        <v/>
      </c>
    </row>
    <row r="410" spans="1:14" hidden="1" outlineLevel="1">
      <c r="A410" s="180"/>
      <c r="B410" s="190" t="s">
        <v>1321</v>
      </c>
      <c r="C410" s="186" t="str">
        <f t="shared" si="42"/>
        <v/>
      </c>
      <c r="E410" s="182">
        <v>2</v>
      </c>
      <c r="F410" s="183">
        <v>0</v>
      </c>
      <c r="G410" s="191" t="str">
        <f t="shared" si="43"/>
        <v/>
      </c>
      <c r="H410" s="188">
        <f t="shared" si="44"/>
        <v>7.1085836147147686E-3</v>
      </c>
      <c r="I410" s="188" t="str">
        <f t="shared" si="45"/>
        <v/>
      </c>
      <c r="J410" s="182">
        <v>2</v>
      </c>
      <c r="K410" s="183">
        <v>0</v>
      </c>
      <c r="L410" s="191" t="str">
        <f t="shared" si="46"/>
        <v/>
      </c>
      <c r="M410" s="188">
        <f t="shared" si="47"/>
        <v>9.5252156270687579E-4</v>
      </c>
      <c r="N410" s="189" t="str">
        <f t="shared" si="48"/>
        <v/>
      </c>
    </row>
    <row r="411" spans="1:14" collapsed="1">
      <c r="A411" s="180" t="s">
        <v>1322</v>
      </c>
      <c r="B411" s="179" t="s">
        <v>1323</v>
      </c>
      <c r="C411" s="186" t="str">
        <f t="shared" si="42"/>
        <v/>
      </c>
      <c r="E411" s="182">
        <v>2</v>
      </c>
      <c r="F411" s="183">
        <v>0</v>
      </c>
      <c r="G411" s="191" t="str">
        <f t="shared" si="43"/>
        <v/>
      </c>
      <c r="H411" s="188">
        <f t="shared" si="44"/>
        <v>7.1085836147147686E-3</v>
      </c>
      <c r="I411" s="188" t="str">
        <f t="shared" si="45"/>
        <v/>
      </c>
      <c r="J411" s="182">
        <v>2</v>
      </c>
      <c r="K411" s="183">
        <v>0</v>
      </c>
      <c r="L411" s="191" t="str">
        <f t="shared" si="46"/>
        <v/>
      </c>
      <c r="M411" s="188">
        <f t="shared" si="47"/>
        <v>9.5252156270687579E-4</v>
      </c>
      <c r="N411" s="189" t="str">
        <f t="shared" si="48"/>
        <v/>
      </c>
    </row>
    <row r="412" spans="1:14" hidden="1" outlineLevel="1">
      <c r="A412" s="180"/>
      <c r="B412" s="190" t="s">
        <v>1324</v>
      </c>
      <c r="C412" s="186" t="str">
        <f t="shared" si="42"/>
        <v/>
      </c>
      <c r="E412" s="182">
        <v>2</v>
      </c>
      <c r="F412" s="183">
        <v>0</v>
      </c>
      <c r="G412" s="191" t="str">
        <f t="shared" si="43"/>
        <v/>
      </c>
      <c r="H412" s="188">
        <f t="shared" si="44"/>
        <v>7.1085836147147686E-3</v>
      </c>
      <c r="I412" s="188" t="str">
        <f t="shared" si="45"/>
        <v/>
      </c>
      <c r="J412" s="182">
        <v>2</v>
      </c>
      <c r="K412" s="183">
        <v>0</v>
      </c>
      <c r="L412" s="191" t="str">
        <f t="shared" si="46"/>
        <v/>
      </c>
      <c r="M412" s="188">
        <f t="shared" si="47"/>
        <v>9.5252156270687579E-4</v>
      </c>
      <c r="N412" s="189" t="str">
        <f t="shared" si="48"/>
        <v/>
      </c>
    </row>
    <row r="413" spans="1:14" collapsed="1">
      <c r="A413" s="180" t="s">
        <v>1325</v>
      </c>
      <c r="B413" s="179" t="s">
        <v>1147</v>
      </c>
      <c r="C413" s="186">
        <f t="shared" si="42"/>
        <v>-83.333333333333343</v>
      </c>
      <c r="E413" s="182">
        <v>0</v>
      </c>
      <c r="F413" s="183">
        <v>0</v>
      </c>
      <c r="G413" s="191" t="str">
        <f t="shared" si="43"/>
        <v/>
      </c>
      <c r="H413" s="188" t="str">
        <f t="shared" si="44"/>
        <v/>
      </c>
      <c r="I413" s="188" t="str">
        <f t="shared" si="45"/>
        <v/>
      </c>
      <c r="J413" s="182">
        <v>1</v>
      </c>
      <c r="K413" s="183">
        <v>6</v>
      </c>
      <c r="L413" s="191">
        <f t="shared" si="46"/>
        <v>-83.333333333333343</v>
      </c>
      <c r="M413" s="188">
        <f t="shared" si="47"/>
        <v>4.7626078135343789E-4</v>
      </c>
      <c r="N413" s="189">
        <f t="shared" si="48"/>
        <v>2.9319781078967944E-3</v>
      </c>
    </row>
    <row r="414" spans="1:14" hidden="1" outlineLevel="1">
      <c r="A414" s="180"/>
      <c r="B414" s="190" t="s">
        <v>1148</v>
      </c>
      <c r="C414" s="186">
        <f t="shared" si="42"/>
        <v>-83.333333333333343</v>
      </c>
      <c r="E414" s="182">
        <v>0</v>
      </c>
      <c r="F414" s="183">
        <v>0</v>
      </c>
      <c r="G414" s="191" t="str">
        <f t="shared" si="43"/>
        <v/>
      </c>
      <c r="H414" s="188" t="str">
        <f t="shared" si="44"/>
        <v/>
      </c>
      <c r="I414" s="188" t="str">
        <f t="shared" si="45"/>
        <v/>
      </c>
      <c r="J414" s="182">
        <v>1</v>
      </c>
      <c r="K414" s="183">
        <v>6</v>
      </c>
      <c r="L414" s="191">
        <f t="shared" si="46"/>
        <v>-83.333333333333343</v>
      </c>
      <c r="M414" s="188">
        <f t="shared" si="47"/>
        <v>4.7626078135343789E-4</v>
      </c>
      <c r="N414" s="189">
        <f t="shared" si="48"/>
        <v>2.9319781078967944E-3</v>
      </c>
    </row>
    <row r="415" spans="1:14" collapsed="1">
      <c r="A415" s="180" t="s">
        <v>1326</v>
      </c>
      <c r="B415" s="179" t="s">
        <v>553</v>
      </c>
      <c r="C415" s="186">
        <f t="shared" si="42"/>
        <v>-66.666666666666657</v>
      </c>
      <c r="E415" s="182">
        <v>0</v>
      </c>
      <c r="F415" s="183">
        <v>0</v>
      </c>
      <c r="G415" s="191" t="str">
        <f t="shared" si="43"/>
        <v/>
      </c>
      <c r="H415" s="188" t="str">
        <f t="shared" si="44"/>
        <v/>
      </c>
      <c r="I415" s="188" t="str">
        <f t="shared" si="45"/>
        <v/>
      </c>
      <c r="J415" s="182">
        <v>1</v>
      </c>
      <c r="K415" s="183">
        <v>3</v>
      </c>
      <c r="L415" s="191">
        <f t="shared" si="46"/>
        <v>-66.666666666666657</v>
      </c>
      <c r="M415" s="188">
        <f t="shared" si="47"/>
        <v>4.7626078135343789E-4</v>
      </c>
      <c r="N415" s="189">
        <f t="shared" si="48"/>
        <v>1.4659890539483972E-3</v>
      </c>
    </row>
    <row r="416" spans="1:14" hidden="1" outlineLevel="1">
      <c r="A416" s="180"/>
      <c r="B416" s="190" t="s">
        <v>553</v>
      </c>
      <c r="C416" s="186">
        <f t="shared" si="42"/>
        <v>-66.666666666666657</v>
      </c>
      <c r="E416" s="182">
        <v>0</v>
      </c>
      <c r="F416" s="183">
        <v>0</v>
      </c>
      <c r="G416" s="191" t="str">
        <f t="shared" si="43"/>
        <v/>
      </c>
      <c r="H416" s="188" t="str">
        <f t="shared" si="44"/>
        <v/>
      </c>
      <c r="I416" s="188" t="str">
        <f t="shared" si="45"/>
        <v/>
      </c>
      <c r="J416" s="182">
        <v>1</v>
      </c>
      <c r="K416" s="183">
        <v>3</v>
      </c>
      <c r="L416" s="191">
        <f t="shared" si="46"/>
        <v>-66.666666666666657</v>
      </c>
      <c r="M416" s="188">
        <f t="shared" si="47"/>
        <v>4.7626078135343789E-4</v>
      </c>
      <c r="N416" s="189">
        <f t="shared" si="48"/>
        <v>1.4659890539483972E-3</v>
      </c>
    </row>
    <row r="417" spans="1:14" collapsed="1">
      <c r="A417" s="180"/>
      <c r="B417" s="179" t="s">
        <v>295</v>
      </c>
      <c r="C417" s="186">
        <f t="shared" si="42"/>
        <v>14.07035175879397</v>
      </c>
      <c r="E417" s="182">
        <v>41</v>
      </c>
      <c r="F417" s="183">
        <v>25</v>
      </c>
      <c r="G417" s="191">
        <f t="shared" si="43"/>
        <v>64</v>
      </c>
      <c r="H417" s="188">
        <f t="shared" si="44"/>
        <v>0.14572596410165276</v>
      </c>
      <c r="I417" s="188">
        <f t="shared" si="45"/>
        <v>0.11338896952104499</v>
      </c>
      <c r="J417" s="182">
        <v>227</v>
      </c>
      <c r="K417" s="183">
        <v>199</v>
      </c>
      <c r="L417" s="191">
        <f t="shared" si="46"/>
        <v>14.07035175879397</v>
      </c>
      <c r="M417" s="188">
        <f t="shared" si="47"/>
        <v>0.1081111973672304</v>
      </c>
      <c r="N417" s="189">
        <f t="shared" si="48"/>
        <v>9.7243940578577021E-2</v>
      </c>
    </row>
    <row r="418" spans="1:14" hidden="1" outlineLevel="1">
      <c r="A418" s="180"/>
      <c r="B418" s="190" t="s">
        <v>463</v>
      </c>
      <c r="C418" s="186">
        <f t="shared" si="42"/>
        <v>14.07035175879397</v>
      </c>
      <c r="E418" s="182">
        <v>41</v>
      </c>
      <c r="F418" s="183">
        <v>25</v>
      </c>
      <c r="G418" s="191">
        <f t="shared" si="43"/>
        <v>64</v>
      </c>
      <c r="H418" s="188">
        <f t="shared" si="44"/>
        <v>0.14572596410165276</v>
      </c>
      <c r="I418" s="188">
        <f t="shared" si="45"/>
        <v>0.11338896952104499</v>
      </c>
      <c r="J418" s="182">
        <v>227</v>
      </c>
      <c r="K418" s="183">
        <v>199</v>
      </c>
      <c r="L418" s="191">
        <f t="shared" si="46"/>
        <v>14.07035175879397</v>
      </c>
      <c r="M418" s="188">
        <f t="shared" si="47"/>
        <v>0.1081111973672304</v>
      </c>
      <c r="N418" s="189">
        <f t="shared" si="48"/>
        <v>9.7243940578577021E-2</v>
      </c>
    </row>
    <row r="419" spans="1:14">
      <c r="A419" s="180"/>
      <c r="B419" s="192"/>
      <c r="C419" s="186"/>
      <c r="E419" s="182"/>
      <c r="F419" s="183"/>
      <c r="G419" s="191"/>
      <c r="H419" s="188"/>
      <c r="I419" s="188"/>
      <c r="J419" s="182"/>
      <c r="K419" s="183"/>
      <c r="L419" s="191"/>
      <c r="M419" s="188"/>
      <c r="N419" s="189"/>
    </row>
    <row r="420" spans="1:14" ht="15" customHeight="1">
      <c r="B420" s="193" t="s">
        <v>974</v>
      </c>
      <c r="C420" s="194"/>
      <c r="D420" s="195"/>
      <c r="E420" s="196">
        <f>SUM(E10 + E19 + E39 + E50 + E68 + E73 + E95 + E118 + E145 + E154 + E166 + E172 + E190 + E201 + E214 + E224 + E236 + E239 + E244 + E254 + E258 + E265 + E275 + E279 + E284 + E292 + E303 + E309 + E313 + E315 + E321 + E329 + E333 + E337 + E339 + E343 + E349 + E353 + E360 + E363 + E367 + E369 + E373 + E375 + E379 + E381 + E388 + E390 + E394 + E396 + E398 + E401 + E403 + E405 + E407 + E409 + E411 + E413 + E415 + E417)</f>
        <v>28135</v>
      </c>
      <c r="F420" s="196">
        <f>SUM(F10 + F19 + F39 + F50 + F68 + F73 + F95 + F118 + F145 + F154 + F166 + F172 + F190 + F201 + F214 + F224 + F236 + F239 + F244 + F254 + F258 + F265 + F275 + F279 + F284 + F292 + F303 + F309 + F313 + F315 + F321 + F329 + F333 + F337 + F339 + F343 + F349 + F353 + F360 + F363 + F367 + F369 + F373 + F375 + F379 + F381 + F388 + F390 + F394 + F396 + F398 + F401 + F403 + F405 + F407 + F409 + F411 + F413 + F415 + F417)</f>
        <v>22048</v>
      </c>
      <c r="G420" s="196"/>
      <c r="H420" s="197"/>
      <c r="I420" s="197"/>
      <c r="J420" s="196">
        <f>SUM(J10 + J19 + J39 + J50 + J68 + J73 + J95 + J118 + J145 + J154 + J166 + J172 + J190 + J201 + J214 + J224 + J236 + J239 + J244 + J254 + J258 + J265 + J275 + J279 + J284 + J292 + J303 + J309 + J313 + J315 + J321 + J329 + J333 + J337 + J339 + J343 + J349 + J353 + J360 + J363 + J367 + J369 + J373 + J375 + J379 + J381 + J388 + J390 + J394 + J396 + J398 + J401 + J403 + J405 + J407 + J409 + J411 + J413 + J415 + J417)</f>
        <v>209969</v>
      </c>
      <c r="K420" s="196">
        <f>SUM(K10 + K19 + K39 + K50 + K68 + K73 + K95 + K118 + K145 + K154 + K166 + K172 + K190 + K201 + K214 + K224 + K236 + K239 + K244 + K254 + K258 + K265 + K275 + K279 + K284 + K292 + K303 + K309 + K313 + K315 + K321 + K329 + K333 + K337 + K339 + K343 + K349 + K353 + K360 + K363 + K367 + K369 + K373 + K375 + K379 + K381 + K388 + K390 + K394 + K396 + K398 + K401 + K403 + K405 + K407 + K409 + K411 + K413 + K415 + K417)</f>
        <v>204640</v>
      </c>
      <c r="L420" s="196"/>
      <c r="M420" s="197"/>
      <c r="N420" s="193"/>
    </row>
    <row r="421" spans="1:14">
      <c r="B421" s="198" t="s">
        <v>975</v>
      </c>
      <c r="C421" s="199"/>
      <c r="D421" s="195"/>
      <c r="E421" s="200">
        <f>CntPeriod-CntPeriodPrevYear</f>
        <v>6087</v>
      </c>
      <c r="F421" s="200"/>
      <c r="G421" s="201">
        <f>(CntPeriod/CntPeriodPrevYear)-100%</f>
        <v>0.27607946298984043</v>
      </c>
      <c r="H421" s="202"/>
      <c r="I421" s="203"/>
      <c r="J421" s="204">
        <f>CntYearAck-CntPrevYearAck</f>
        <v>5329</v>
      </c>
      <c r="K421" s="205"/>
      <c r="L421" s="206">
        <f>(CntYearAck/CntPrevYearAck)-100%</f>
        <v>2.6040852228303324E-2</v>
      </c>
      <c r="M421" s="207"/>
      <c r="N421" s="207"/>
    </row>
    <row r="424" spans="1:14">
      <c r="B424" s="59" t="s">
        <v>976</v>
      </c>
    </row>
    <row r="425" spans="1:14">
      <c r="B425" s="59" t="s">
        <v>977</v>
      </c>
      <c r="C425" s="208"/>
      <c r="D425" s="209"/>
      <c r="E425" s="59"/>
      <c r="F425" s="59"/>
      <c r="G425" s="59"/>
      <c r="H425" s="59"/>
      <c r="I425" s="59"/>
      <c r="J425" s="59"/>
      <c r="K425" s="59"/>
      <c r="L425" s="59"/>
      <c r="M425" s="59"/>
    </row>
    <row r="426" spans="1:14">
      <c r="C426" s="208"/>
      <c r="D426" s="209"/>
      <c r="E426" s="59"/>
      <c r="F426" s="59"/>
      <c r="G426" s="59"/>
      <c r="H426" s="59"/>
      <c r="I426" s="59"/>
      <c r="J426" s="59"/>
      <c r="K426" s="59"/>
      <c r="L426" s="59"/>
      <c r="M426" s="59"/>
    </row>
    <row r="427" spans="1:14">
      <c r="C427" s="208"/>
      <c r="D427" s="209"/>
      <c r="E427" s="59"/>
      <c r="F427" s="59"/>
      <c r="G427" s="59"/>
      <c r="H427" s="59"/>
      <c r="I427" s="59"/>
      <c r="J427" s="59"/>
      <c r="K427" s="59"/>
      <c r="L427" s="59"/>
      <c r="M427" s="59"/>
    </row>
    <row r="428" spans="1:14">
      <c r="B428" s="59" t="s">
        <v>678</v>
      </c>
      <c r="C428" s="208"/>
      <c r="D428" s="209"/>
      <c r="E428" s="59"/>
      <c r="F428" s="59"/>
      <c r="G428" s="59"/>
      <c r="H428" s="59"/>
      <c r="I428" s="59"/>
      <c r="J428" s="59"/>
      <c r="K428" s="59"/>
      <c r="L428" s="59"/>
      <c r="M428" s="59"/>
    </row>
    <row r="429" spans="1:14">
      <c r="C429" s="208"/>
      <c r="D429" s="209"/>
      <c r="E429" s="59"/>
      <c r="F429" s="59"/>
      <c r="G429" s="59"/>
      <c r="H429" s="59"/>
      <c r="I429" s="59"/>
      <c r="J429" s="59"/>
      <c r="K429" s="59"/>
      <c r="L429" s="59"/>
      <c r="M429" s="59"/>
    </row>
  </sheetData>
  <mergeCells count="10">
    <mergeCell ref="A7:D7"/>
    <mergeCell ref="E7:I7"/>
    <mergeCell ref="J7:N7"/>
    <mergeCell ref="E8:F8"/>
    <mergeCell ref="H8:I8"/>
    <mergeCell ref="J8:K8"/>
    <mergeCell ref="M8:N8"/>
    <mergeCell ref="E1:N1"/>
    <mergeCell ref="E6:I6"/>
    <mergeCell ref="J6:N6"/>
  </mergeCells>
  <conditionalFormatting sqref="E421:H421 J421:L421">
    <cfRule type="cellIs" dxfId="9" priority="3" stopIfTrue="1" operator="lessThan">
      <formula>0</formula>
    </cfRule>
  </conditionalFormatting>
  <conditionalFormatting sqref="G10:G419 L10:L419">
    <cfRule type="cellIs" dxfId="8" priority="4" stopIfTrue="1" operator="lessThan">
      <formula>0</formula>
    </cfRule>
    <cfRule type="cellIs" dxfId="7" priority="5" stopIfTrue="1" operator="greaterThan">
      <formula>0</formula>
    </cfRule>
    <cfRule type="cellIs" dxfId="6" priority="6" stopIfTrue="1" operator="equal">
      <formula>0</formula>
    </cfRule>
  </conditionalFormatting>
  <pageMargins left="0.7" right="0.7" top="0.75" bottom="0.75" header="0.3" footer="0.3"/>
  <pageSetup paperSize="9"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1" id="{86EDF075-A9BF-451B-8CF1-53AF0FC436AC}">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C425:C429</xm:sqref>
        </x14:conditionalFormatting>
        <x14:conditionalFormatting xmlns:xm="http://schemas.microsoft.com/office/excel/2006/main">
          <x14:cfRule type="iconSet" priority="2" id="{25A1C0B1-8DA7-4C24-854F-08F9EE1878D0}">
            <x14:iconSet iconSet="4ArrowsGray" showValue="0" custom="1">
              <x14:cfvo type="percent">
                <xm:f>0</xm:f>
              </x14:cfvo>
              <x14:cfvo type="num">
                <xm:f>-20</xm:f>
              </x14:cfvo>
              <x14:cfvo type="num">
                <xm:f>20</xm:f>
              </x14:cfvo>
              <x14:cfvo type="num">
                <xm:f>10000</xm:f>
              </x14:cfvo>
              <x14:cfIcon iconSet="4ArrowsGray" iconId="1"/>
              <x14:cfIcon iconSet="NoIcons" iconId="0"/>
              <x14:cfIcon iconSet="4ArrowsGray" iconId="2"/>
              <x14:cfIcon iconSet="NoIcons" iconId="0"/>
            </x14:iconSet>
          </x14:cfRule>
          <xm:sqref>C430:C1048576 C1:C5 C8:C424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I99"/>
  <sheetViews>
    <sheetView workbookViewId="0">
      <pane ySplit="7" topLeftCell="A61" activePane="bottomLeft" state="frozen"/>
      <selection activeCell="D49" sqref="D49"/>
      <selection pane="bottomLeft" activeCell="D66" sqref="D66"/>
    </sheetView>
  </sheetViews>
  <sheetFormatPr baseColWidth="10" defaultColWidth="8.83203125" defaultRowHeight="15"/>
  <cols>
    <col min="1" max="1" width="24.33203125" customWidth="1"/>
    <col min="2" max="5" width="13.6640625" style="4" customWidth="1"/>
    <col min="6" max="9" width="12.6640625" style="11" customWidth="1"/>
  </cols>
  <sheetData>
    <row r="1" spans="1:9">
      <c r="B1"/>
      <c r="C1"/>
      <c r="D1"/>
      <c r="E1"/>
      <c r="F1"/>
      <c r="G1"/>
      <c r="H1"/>
      <c r="I1"/>
    </row>
    <row r="2" spans="1:9" ht="19.25" customHeight="1" thickBot="1">
      <c r="B2" s="56" t="s">
        <v>456</v>
      </c>
      <c r="C2" s="56"/>
      <c r="D2" s="56"/>
      <c r="E2" s="56"/>
      <c r="F2" s="56"/>
      <c r="G2" s="56"/>
      <c r="H2"/>
      <c r="I2"/>
    </row>
    <row r="4" spans="1:9">
      <c r="A4" s="55" t="s">
        <v>457</v>
      </c>
      <c r="B4" s="22"/>
      <c r="C4" s="65"/>
      <c r="D4" s="65"/>
      <c r="E4" s="22"/>
      <c r="F4" s="228" t="s">
        <v>452</v>
      </c>
      <c r="G4" s="228"/>
      <c r="H4" s="228"/>
      <c r="I4" s="228"/>
    </row>
    <row r="5" spans="1:9">
      <c r="A5" s="103"/>
      <c r="B5" s="248" t="s">
        <v>535</v>
      </c>
      <c r="C5" s="249"/>
      <c r="D5" s="248" t="s">
        <v>535</v>
      </c>
      <c r="E5" s="249"/>
      <c r="F5" s="250" t="s">
        <v>536</v>
      </c>
      <c r="G5" s="251"/>
      <c r="H5" s="252" t="s">
        <v>537</v>
      </c>
      <c r="I5" s="253"/>
    </row>
    <row r="6" spans="1:9">
      <c r="A6" s="103" t="s">
        <v>562</v>
      </c>
      <c r="B6" s="104" t="str">
        <f>Innehåll!D79</f>
        <v xml:space="preserve"> 2023-09</v>
      </c>
      <c r="C6" s="104" t="str">
        <f>Innehåll!D80</f>
        <v xml:space="preserve"> 2022-09</v>
      </c>
      <c r="D6" s="104" t="str">
        <f>Innehåll!D81</f>
        <v>YTD  2023</v>
      </c>
      <c r="E6" s="104" t="str">
        <f>Innehåll!D82</f>
        <v>YTD  2022</v>
      </c>
      <c r="F6" s="105" t="str">
        <f>B6</f>
        <v xml:space="preserve"> 2023-09</v>
      </c>
      <c r="G6" s="106" t="str">
        <f>D6</f>
        <v>YTD  2023</v>
      </c>
      <c r="H6" s="107" t="str">
        <f>D6</f>
        <v>YTD  2023</v>
      </c>
      <c r="I6" s="107" t="str">
        <f>E6</f>
        <v>YTD  2022</v>
      </c>
    </row>
    <row r="7" spans="1:9" hidden="1">
      <c r="A7" s="165" t="s">
        <v>328</v>
      </c>
      <c r="B7" s="135" t="s">
        <v>307</v>
      </c>
      <c r="C7" s="135" t="s">
        <v>308</v>
      </c>
      <c r="D7" s="135" t="s">
        <v>309</v>
      </c>
      <c r="E7" s="135" t="s">
        <v>310</v>
      </c>
      <c r="F7" s="135" t="s">
        <v>323</v>
      </c>
      <c r="G7" s="135" t="s">
        <v>324</v>
      </c>
      <c r="H7" s="135" t="s">
        <v>311</v>
      </c>
      <c r="I7" s="135" t="s">
        <v>312</v>
      </c>
    </row>
    <row r="8" spans="1:9">
      <c r="A8" s="166" t="s">
        <v>1014</v>
      </c>
      <c r="B8" s="142">
        <v>241</v>
      </c>
      <c r="C8" s="142">
        <v>277</v>
      </c>
      <c r="D8" s="142">
        <v>2121</v>
      </c>
      <c r="E8" s="142">
        <v>2809</v>
      </c>
      <c r="F8" s="144">
        <v>-12.996389891696749</v>
      </c>
      <c r="G8" s="144">
        <v>-24.492702029191886</v>
      </c>
      <c r="H8" s="144">
        <v>1.01</v>
      </c>
      <c r="I8" s="144">
        <v>1.37</v>
      </c>
    </row>
    <row r="9" spans="1:9">
      <c r="A9" s="167" t="s">
        <v>258</v>
      </c>
      <c r="B9" s="142">
        <v>19</v>
      </c>
      <c r="C9" s="142">
        <v>7</v>
      </c>
      <c r="D9" s="142">
        <v>209</v>
      </c>
      <c r="E9" s="142">
        <v>64</v>
      </c>
      <c r="F9" s="144">
        <v>171.42857142857142</v>
      </c>
      <c r="G9" s="144">
        <v>226.5625</v>
      </c>
      <c r="H9" s="144">
        <v>0.1</v>
      </c>
      <c r="I9" s="144">
        <v>0.03</v>
      </c>
    </row>
    <row r="10" spans="1:9">
      <c r="A10" s="167" t="s">
        <v>265</v>
      </c>
      <c r="B10" s="142">
        <v>217</v>
      </c>
      <c r="C10" s="142">
        <v>260</v>
      </c>
      <c r="D10" s="142">
        <v>1784</v>
      </c>
      <c r="E10" s="142">
        <v>2452</v>
      </c>
      <c r="F10" s="144">
        <v>-16.538461538461537</v>
      </c>
      <c r="G10" s="144">
        <v>-27.24306688417618</v>
      </c>
      <c r="H10" s="144">
        <v>0.85</v>
      </c>
      <c r="I10" s="144">
        <v>1.2</v>
      </c>
    </row>
    <row r="11" spans="1:9">
      <c r="A11" s="167" t="s">
        <v>271</v>
      </c>
      <c r="B11" s="142">
        <v>5</v>
      </c>
      <c r="C11" s="142">
        <v>10</v>
      </c>
      <c r="D11" s="142">
        <v>128</v>
      </c>
      <c r="E11" s="142">
        <v>293</v>
      </c>
      <c r="F11" s="144">
        <v>-50</v>
      </c>
      <c r="G11" s="144">
        <v>-56.313993174061437</v>
      </c>
      <c r="H11" s="144">
        <v>0.06</v>
      </c>
      <c r="I11" s="144">
        <v>0.14000000000000001</v>
      </c>
    </row>
    <row r="12" spans="1:9">
      <c r="A12" s="166" t="s">
        <v>313</v>
      </c>
      <c r="B12" s="142">
        <v>25</v>
      </c>
      <c r="C12" s="142">
        <v>68</v>
      </c>
      <c r="D12" s="142">
        <v>316</v>
      </c>
      <c r="E12" s="142">
        <v>479</v>
      </c>
      <c r="F12" s="144">
        <v>-63.235294117647058</v>
      </c>
      <c r="G12" s="144">
        <v>-34.029227557411275</v>
      </c>
      <c r="H12" s="144">
        <v>0.15</v>
      </c>
      <c r="I12" s="144">
        <v>0.23</v>
      </c>
    </row>
    <row r="13" spans="1:9">
      <c r="A13" s="167" t="s">
        <v>270</v>
      </c>
      <c r="B13" s="142">
        <v>3</v>
      </c>
      <c r="C13" s="142">
        <v>4</v>
      </c>
      <c r="D13" s="142">
        <v>46</v>
      </c>
      <c r="E13" s="142">
        <v>89</v>
      </c>
      <c r="F13" s="144">
        <v>-25</v>
      </c>
      <c r="G13" s="144">
        <v>-48.314606741573037</v>
      </c>
      <c r="H13" s="144">
        <v>0.02</v>
      </c>
      <c r="I13" s="144">
        <v>0.04</v>
      </c>
    </row>
    <row r="14" spans="1:9">
      <c r="A14" s="167" t="s">
        <v>274</v>
      </c>
      <c r="B14" s="142">
        <v>22</v>
      </c>
      <c r="C14" s="142">
        <v>64</v>
      </c>
      <c r="D14" s="142">
        <v>270</v>
      </c>
      <c r="E14" s="142">
        <v>390</v>
      </c>
      <c r="F14" s="144">
        <v>-65.625</v>
      </c>
      <c r="G14" s="144">
        <v>-30.76923076923077</v>
      </c>
      <c r="H14" s="144">
        <v>0.13</v>
      </c>
      <c r="I14" s="144">
        <v>0.19</v>
      </c>
    </row>
    <row r="15" spans="1:9">
      <c r="A15" s="166" t="s">
        <v>314</v>
      </c>
      <c r="B15" s="142">
        <v>1388</v>
      </c>
      <c r="C15" s="142">
        <v>1494</v>
      </c>
      <c r="D15" s="142">
        <v>12951</v>
      </c>
      <c r="E15" s="142">
        <v>14451</v>
      </c>
      <c r="F15" s="144">
        <v>-7.0950468540829981</v>
      </c>
      <c r="G15" s="144">
        <v>-10.379904504878555</v>
      </c>
      <c r="H15" s="144">
        <v>6.17</v>
      </c>
      <c r="I15" s="144">
        <v>7.0600000000000005</v>
      </c>
    </row>
    <row r="16" spans="1:9">
      <c r="A16" s="167" t="s">
        <v>261</v>
      </c>
      <c r="B16" s="142">
        <v>1232</v>
      </c>
      <c r="C16" s="142">
        <v>1283</v>
      </c>
      <c r="D16" s="142">
        <v>11464</v>
      </c>
      <c r="E16" s="142">
        <v>12362</v>
      </c>
      <c r="F16" s="144">
        <v>-3.9750584567420111</v>
      </c>
      <c r="G16" s="144">
        <v>-7.2641967319204008</v>
      </c>
      <c r="H16" s="144">
        <v>5.46</v>
      </c>
      <c r="I16" s="144">
        <v>6.04</v>
      </c>
    </row>
    <row r="17" spans="1:9">
      <c r="A17" s="167" t="s">
        <v>279</v>
      </c>
      <c r="B17" s="142">
        <v>156</v>
      </c>
      <c r="C17" s="142">
        <v>211</v>
      </c>
      <c r="D17" s="142">
        <v>1487</v>
      </c>
      <c r="E17" s="142">
        <v>2089</v>
      </c>
      <c r="F17" s="144">
        <v>-26.066350710900476</v>
      </c>
      <c r="G17" s="144">
        <v>-28.817616084250837</v>
      </c>
      <c r="H17" s="144">
        <v>0.71</v>
      </c>
      <c r="I17" s="144">
        <v>1.02</v>
      </c>
    </row>
    <row r="18" spans="1:9">
      <c r="A18" s="166" t="s">
        <v>1066</v>
      </c>
      <c r="B18" s="142">
        <v>2</v>
      </c>
      <c r="C18" s="142">
        <v>2</v>
      </c>
      <c r="D18" s="142">
        <v>12</v>
      </c>
      <c r="E18" s="142">
        <v>11</v>
      </c>
      <c r="F18" s="144">
        <v>0</v>
      </c>
      <c r="G18" s="144">
        <v>9.0909090909090917</v>
      </c>
      <c r="H18" s="144">
        <v>0.01</v>
      </c>
      <c r="I18" s="144">
        <v>0.01</v>
      </c>
    </row>
    <row r="19" spans="1:9">
      <c r="A19" s="167" t="s">
        <v>671</v>
      </c>
      <c r="B19" s="142">
        <v>2</v>
      </c>
      <c r="C19" s="142">
        <v>2</v>
      </c>
      <c r="D19" s="142">
        <v>12</v>
      </c>
      <c r="E19" s="142">
        <v>11</v>
      </c>
      <c r="F19" s="144">
        <v>0</v>
      </c>
      <c r="G19" s="144">
        <v>9.0909090909090917</v>
      </c>
      <c r="H19" s="144">
        <v>0.01</v>
      </c>
      <c r="I19" s="144">
        <v>0.01</v>
      </c>
    </row>
    <row r="20" spans="1:9">
      <c r="A20" s="166" t="s">
        <v>1054</v>
      </c>
      <c r="B20" s="142">
        <v>3005</v>
      </c>
      <c r="C20" s="142">
        <v>1810</v>
      </c>
      <c r="D20" s="142">
        <v>19033</v>
      </c>
      <c r="E20" s="142">
        <v>19505</v>
      </c>
      <c r="F20" s="144">
        <v>66.02209944751381</v>
      </c>
      <c r="G20" s="144">
        <v>-2.4198923352986417</v>
      </c>
      <c r="H20" s="144">
        <v>9.0699999999999985</v>
      </c>
      <c r="I20" s="144">
        <v>9.52</v>
      </c>
    </row>
    <row r="21" spans="1:9">
      <c r="A21" s="167" t="s">
        <v>264</v>
      </c>
      <c r="B21" s="142">
        <v>163</v>
      </c>
      <c r="C21" s="142">
        <v>226</v>
      </c>
      <c r="D21" s="142">
        <v>2096</v>
      </c>
      <c r="E21" s="142">
        <v>2237</v>
      </c>
      <c r="F21" s="144">
        <v>-27.876106194690266</v>
      </c>
      <c r="G21" s="144">
        <v>-6.303084488153778</v>
      </c>
      <c r="H21" s="144">
        <v>1</v>
      </c>
      <c r="I21" s="144">
        <v>1.0900000000000001</v>
      </c>
    </row>
    <row r="22" spans="1:9">
      <c r="A22" s="167" t="s">
        <v>266</v>
      </c>
      <c r="B22" s="142">
        <v>380</v>
      </c>
      <c r="C22" s="142">
        <v>810</v>
      </c>
      <c r="D22" s="142">
        <v>4719</v>
      </c>
      <c r="E22" s="142">
        <v>7883</v>
      </c>
      <c r="F22" s="144">
        <v>-53.086419753086425</v>
      </c>
      <c r="G22" s="144">
        <v>-40.137003678802486</v>
      </c>
      <c r="H22" s="144">
        <v>2.25</v>
      </c>
      <c r="I22" s="144">
        <v>3.85</v>
      </c>
    </row>
    <row r="23" spans="1:9">
      <c r="A23" s="167" t="s">
        <v>286</v>
      </c>
      <c r="B23" s="142">
        <v>490</v>
      </c>
      <c r="C23" s="142">
        <v>224</v>
      </c>
      <c r="D23" s="142">
        <v>3902</v>
      </c>
      <c r="E23" s="142">
        <v>3893</v>
      </c>
      <c r="F23" s="144">
        <v>118.75</v>
      </c>
      <c r="G23" s="144">
        <v>0.23118417672745953</v>
      </c>
      <c r="H23" s="144">
        <v>1.86</v>
      </c>
      <c r="I23" s="144">
        <v>1.9</v>
      </c>
    </row>
    <row r="24" spans="1:9">
      <c r="A24" s="167" t="s">
        <v>552</v>
      </c>
      <c r="B24" s="142">
        <v>1</v>
      </c>
      <c r="C24" s="142">
        <v>2</v>
      </c>
      <c r="D24" s="142">
        <v>5</v>
      </c>
      <c r="E24" s="142">
        <v>10</v>
      </c>
      <c r="F24" s="144">
        <v>-50</v>
      </c>
      <c r="G24" s="144">
        <v>-50</v>
      </c>
      <c r="H24" s="144">
        <v>0</v>
      </c>
      <c r="I24" s="144">
        <v>0</v>
      </c>
    </row>
    <row r="25" spans="1:9">
      <c r="A25" s="167" t="s">
        <v>589</v>
      </c>
      <c r="B25" s="142">
        <v>1354</v>
      </c>
      <c r="C25" s="142">
        <v>548</v>
      </c>
      <c r="D25" s="142">
        <v>5735</v>
      </c>
      <c r="E25" s="142">
        <v>5482</v>
      </c>
      <c r="F25" s="144">
        <v>147.08029197080293</v>
      </c>
      <c r="G25" s="144">
        <v>4.6151039766508575</v>
      </c>
      <c r="H25" s="144">
        <v>2.73</v>
      </c>
      <c r="I25" s="144">
        <v>2.68</v>
      </c>
    </row>
    <row r="26" spans="1:9">
      <c r="A26" s="167" t="s">
        <v>674</v>
      </c>
      <c r="B26" s="142">
        <v>601</v>
      </c>
      <c r="C26" s="142">
        <v>0</v>
      </c>
      <c r="D26" s="142">
        <v>2486</v>
      </c>
      <c r="E26" s="142">
        <v>0</v>
      </c>
      <c r="F26" s="144">
        <v>0</v>
      </c>
      <c r="G26" s="144">
        <v>0</v>
      </c>
      <c r="H26" s="144">
        <v>1.18</v>
      </c>
      <c r="I26" s="144">
        <v>0</v>
      </c>
    </row>
    <row r="27" spans="1:9">
      <c r="A27" s="167" t="s">
        <v>1051</v>
      </c>
      <c r="B27" s="142">
        <v>8</v>
      </c>
      <c r="C27" s="142">
        <v>0</v>
      </c>
      <c r="D27" s="142">
        <v>58</v>
      </c>
      <c r="E27" s="142">
        <v>0</v>
      </c>
      <c r="F27" s="144">
        <v>0</v>
      </c>
      <c r="G27" s="144">
        <v>0</v>
      </c>
      <c r="H27" s="144">
        <v>0.03</v>
      </c>
      <c r="I27" s="144">
        <v>0</v>
      </c>
    </row>
    <row r="28" spans="1:9">
      <c r="A28" s="167" t="s">
        <v>1212</v>
      </c>
      <c r="B28" s="142">
        <v>8</v>
      </c>
      <c r="C28" s="142">
        <v>0</v>
      </c>
      <c r="D28" s="142">
        <v>32</v>
      </c>
      <c r="E28" s="142">
        <v>0</v>
      </c>
      <c r="F28" s="144">
        <v>0</v>
      </c>
      <c r="G28" s="144">
        <v>0</v>
      </c>
      <c r="H28" s="144">
        <v>0.02</v>
      </c>
      <c r="I28" s="144">
        <v>0</v>
      </c>
    </row>
    <row r="29" spans="1:9">
      <c r="A29" s="166" t="s">
        <v>315</v>
      </c>
      <c r="B29" s="142">
        <v>123</v>
      </c>
      <c r="C29" s="142">
        <v>130</v>
      </c>
      <c r="D29" s="142">
        <v>630</v>
      </c>
      <c r="E29" s="142">
        <v>956</v>
      </c>
      <c r="F29" s="144">
        <v>-5.384615384615385</v>
      </c>
      <c r="G29" s="144">
        <v>-34.10041841004184</v>
      </c>
      <c r="H29" s="144">
        <v>0.3</v>
      </c>
      <c r="I29" s="144">
        <v>0.47</v>
      </c>
    </row>
    <row r="30" spans="1:9">
      <c r="A30" s="167" t="s">
        <v>267</v>
      </c>
      <c r="B30" s="142">
        <v>123</v>
      </c>
      <c r="C30" s="142">
        <v>130</v>
      </c>
      <c r="D30" s="142">
        <v>630</v>
      </c>
      <c r="E30" s="142">
        <v>956</v>
      </c>
      <c r="F30" s="144">
        <v>-5.384615384615385</v>
      </c>
      <c r="G30" s="144">
        <v>-34.10041841004184</v>
      </c>
      <c r="H30" s="144">
        <v>0.3</v>
      </c>
      <c r="I30" s="144">
        <v>0.47</v>
      </c>
    </row>
    <row r="31" spans="1:9">
      <c r="A31" s="166" t="s">
        <v>460</v>
      </c>
      <c r="B31" s="142">
        <v>548</v>
      </c>
      <c r="C31" s="142">
        <v>521</v>
      </c>
      <c r="D31" s="142">
        <v>4028</v>
      </c>
      <c r="E31" s="142">
        <v>4101</v>
      </c>
      <c r="F31" s="144">
        <v>5.182341650671785</v>
      </c>
      <c r="G31" s="144">
        <v>-1.7800536454523286</v>
      </c>
      <c r="H31" s="144">
        <v>1.92</v>
      </c>
      <c r="I31" s="144">
        <v>2</v>
      </c>
    </row>
    <row r="32" spans="1:9">
      <c r="A32" s="167" t="s">
        <v>268</v>
      </c>
      <c r="B32" s="142">
        <v>548</v>
      </c>
      <c r="C32" s="142">
        <v>521</v>
      </c>
      <c r="D32" s="142">
        <v>4028</v>
      </c>
      <c r="E32" s="142">
        <v>4101</v>
      </c>
      <c r="F32" s="144">
        <v>5.182341650671785</v>
      </c>
      <c r="G32" s="144">
        <v>-1.7800536454523286</v>
      </c>
      <c r="H32" s="144">
        <v>1.92</v>
      </c>
      <c r="I32" s="144">
        <v>2</v>
      </c>
    </row>
    <row r="33" spans="1:9">
      <c r="A33" s="166" t="s">
        <v>1026</v>
      </c>
      <c r="B33" s="142">
        <v>389</v>
      </c>
      <c r="C33" s="142">
        <v>162</v>
      </c>
      <c r="D33" s="142">
        <v>2340</v>
      </c>
      <c r="E33" s="142">
        <v>1550</v>
      </c>
      <c r="F33" s="144">
        <v>140.12345679012347</v>
      </c>
      <c r="G33" s="144">
        <v>50.967741935483865</v>
      </c>
      <c r="H33" s="144">
        <v>1.1200000000000001</v>
      </c>
      <c r="I33" s="144">
        <v>0.76</v>
      </c>
    </row>
    <row r="34" spans="1:9">
      <c r="A34" s="167" t="s">
        <v>289</v>
      </c>
      <c r="B34" s="142">
        <v>289</v>
      </c>
      <c r="C34" s="142">
        <v>162</v>
      </c>
      <c r="D34" s="142">
        <v>2073</v>
      </c>
      <c r="E34" s="142">
        <v>1550</v>
      </c>
      <c r="F34" s="144">
        <v>78.395061728395063</v>
      </c>
      <c r="G34" s="144">
        <v>33.741935483870968</v>
      </c>
      <c r="H34" s="144">
        <v>0.99</v>
      </c>
      <c r="I34" s="144">
        <v>0.76</v>
      </c>
    </row>
    <row r="35" spans="1:9">
      <c r="A35" s="167" t="s">
        <v>1039</v>
      </c>
      <c r="B35" s="142">
        <v>100</v>
      </c>
      <c r="C35" s="142">
        <v>0</v>
      </c>
      <c r="D35" s="142">
        <v>267</v>
      </c>
      <c r="E35" s="142">
        <v>0</v>
      </c>
      <c r="F35" s="144">
        <v>0</v>
      </c>
      <c r="G35" s="144">
        <v>0</v>
      </c>
      <c r="H35" s="144">
        <v>0.13</v>
      </c>
      <c r="I35" s="144">
        <v>0</v>
      </c>
    </row>
    <row r="36" spans="1:9">
      <c r="A36" s="166" t="s">
        <v>269</v>
      </c>
      <c r="B36" s="142">
        <v>2</v>
      </c>
      <c r="C36" s="142">
        <v>3</v>
      </c>
      <c r="D36" s="142">
        <v>30</v>
      </c>
      <c r="E36" s="142">
        <v>38</v>
      </c>
      <c r="F36" s="144">
        <v>-33.333333333333329</v>
      </c>
      <c r="G36" s="144">
        <v>-21.052631578947366</v>
      </c>
      <c r="H36" s="144">
        <v>0.01</v>
      </c>
      <c r="I36" s="144">
        <v>0.02</v>
      </c>
    </row>
    <row r="37" spans="1:9">
      <c r="A37" s="167" t="s">
        <v>269</v>
      </c>
      <c r="B37" s="142">
        <v>2</v>
      </c>
      <c r="C37" s="142">
        <v>3</v>
      </c>
      <c r="D37" s="142">
        <v>30</v>
      </c>
      <c r="E37" s="142">
        <v>38</v>
      </c>
      <c r="F37" s="144">
        <v>-33.333333333333329</v>
      </c>
      <c r="G37" s="144">
        <v>-21.052631578947366</v>
      </c>
      <c r="H37" s="144">
        <v>0.01</v>
      </c>
      <c r="I37" s="144">
        <v>0.02</v>
      </c>
    </row>
    <row r="38" spans="1:9">
      <c r="A38" s="166" t="s">
        <v>554</v>
      </c>
      <c r="B38" s="142">
        <v>2282</v>
      </c>
      <c r="C38" s="142">
        <v>2336</v>
      </c>
      <c r="D38" s="142">
        <v>17315</v>
      </c>
      <c r="E38" s="142">
        <v>23080</v>
      </c>
      <c r="F38" s="144">
        <v>-2.3116438356164384</v>
      </c>
      <c r="G38" s="144">
        <v>-24.97833622183709</v>
      </c>
      <c r="H38" s="144">
        <v>8.25</v>
      </c>
      <c r="I38" s="144">
        <v>11.28</v>
      </c>
    </row>
    <row r="39" spans="1:9">
      <c r="A39" s="167" t="s">
        <v>272</v>
      </c>
      <c r="B39" s="142">
        <v>2282</v>
      </c>
      <c r="C39" s="142">
        <v>2336</v>
      </c>
      <c r="D39" s="142">
        <v>17315</v>
      </c>
      <c r="E39" s="142">
        <v>23080</v>
      </c>
      <c r="F39" s="144">
        <v>-2.3116438356164384</v>
      </c>
      <c r="G39" s="144">
        <v>-24.97833622183709</v>
      </c>
      <c r="H39" s="144">
        <v>8.25</v>
      </c>
      <c r="I39" s="144">
        <v>11.28</v>
      </c>
    </row>
    <row r="40" spans="1:9">
      <c r="A40" s="166" t="s">
        <v>459</v>
      </c>
      <c r="B40" s="142">
        <v>1420</v>
      </c>
      <c r="C40" s="142">
        <v>1185</v>
      </c>
      <c r="D40" s="142">
        <v>11661</v>
      </c>
      <c r="E40" s="142">
        <v>12059</v>
      </c>
      <c r="F40" s="144">
        <v>19.831223628691983</v>
      </c>
      <c r="G40" s="144">
        <v>-3.3004395057633298</v>
      </c>
      <c r="H40" s="144">
        <v>5.5600000000000005</v>
      </c>
      <c r="I40" s="144">
        <v>5.88</v>
      </c>
    </row>
    <row r="41" spans="1:9">
      <c r="A41" s="167" t="s">
        <v>263</v>
      </c>
      <c r="B41" s="142">
        <v>272</v>
      </c>
      <c r="C41" s="142">
        <v>302</v>
      </c>
      <c r="D41" s="142">
        <v>2978</v>
      </c>
      <c r="E41" s="142">
        <v>2950</v>
      </c>
      <c r="F41" s="144">
        <v>-9.9337748344370862</v>
      </c>
      <c r="G41" s="144">
        <v>0.94915254237288127</v>
      </c>
      <c r="H41" s="144">
        <v>1.42</v>
      </c>
      <c r="I41" s="144">
        <v>1.44</v>
      </c>
    </row>
    <row r="42" spans="1:9">
      <c r="A42" s="167" t="s">
        <v>296</v>
      </c>
      <c r="B42" s="142">
        <v>27</v>
      </c>
      <c r="C42" s="142">
        <v>41</v>
      </c>
      <c r="D42" s="142">
        <v>294</v>
      </c>
      <c r="E42" s="142">
        <v>373</v>
      </c>
      <c r="F42" s="144">
        <v>-34.146341463414636</v>
      </c>
      <c r="G42" s="144">
        <v>-21.179624664879356</v>
      </c>
      <c r="H42" s="144">
        <v>0.14000000000000001</v>
      </c>
      <c r="I42" s="144">
        <v>0.18</v>
      </c>
    </row>
    <row r="43" spans="1:9">
      <c r="A43" s="167" t="s">
        <v>283</v>
      </c>
      <c r="B43" s="142">
        <v>289</v>
      </c>
      <c r="C43" s="142">
        <v>221</v>
      </c>
      <c r="D43" s="142">
        <v>2180</v>
      </c>
      <c r="E43" s="142">
        <v>2384</v>
      </c>
      <c r="F43" s="144">
        <v>30.76923076923077</v>
      </c>
      <c r="G43" s="144">
        <v>-8.5570469798657722</v>
      </c>
      <c r="H43" s="144">
        <v>1.04</v>
      </c>
      <c r="I43" s="144">
        <v>1.1599999999999999</v>
      </c>
    </row>
    <row r="44" spans="1:9">
      <c r="A44" s="167" t="s">
        <v>284</v>
      </c>
      <c r="B44" s="142">
        <v>832</v>
      </c>
      <c r="C44" s="142">
        <v>621</v>
      </c>
      <c r="D44" s="142">
        <v>6209</v>
      </c>
      <c r="E44" s="142">
        <v>6352</v>
      </c>
      <c r="F44" s="144">
        <v>33.977455716586149</v>
      </c>
      <c r="G44" s="144">
        <v>-2.2512594458438286</v>
      </c>
      <c r="H44" s="144">
        <v>2.96</v>
      </c>
      <c r="I44" s="144">
        <v>3.1</v>
      </c>
    </row>
    <row r="45" spans="1:9">
      <c r="A45" s="166" t="s">
        <v>630</v>
      </c>
      <c r="B45" s="142">
        <v>13</v>
      </c>
      <c r="C45" s="142">
        <v>33</v>
      </c>
      <c r="D45" s="142">
        <v>543</v>
      </c>
      <c r="E45" s="142">
        <v>432</v>
      </c>
      <c r="F45" s="144">
        <v>-60.606060606060609</v>
      </c>
      <c r="G45" s="144">
        <v>25.694444444444443</v>
      </c>
      <c r="H45" s="144">
        <v>0.26</v>
      </c>
      <c r="I45" s="144">
        <v>0.21</v>
      </c>
    </row>
    <row r="46" spans="1:9">
      <c r="A46" s="167" t="s">
        <v>280</v>
      </c>
      <c r="B46" s="142">
        <v>13</v>
      </c>
      <c r="C46" s="142">
        <v>33</v>
      </c>
      <c r="D46" s="142">
        <v>543</v>
      </c>
      <c r="E46" s="142">
        <v>432</v>
      </c>
      <c r="F46" s="144">
        <v>-60.606060606060609</v>
      </c>
      <c r="G46" s="144">
        <v>25.694444444444443</v>
      </c>
      <c r="H46" s="144">
        <v>0.26</v>
      </c>
      <c r="I46" s="144">
        <v>0.21</v>
      </c>
    </row>
    <row r="47" spans="1:9">
      <c r="A47" s="166" t="s">
        <v>1104</v>
      </c>
      <c r="B47" s="142">
        <v>0</v>
      </c>
      <c r="C47" s="142">
        <v>0</v>
      </c>
      <c r="D47" s="142">
        <v>1</v>
      </c>
      <c r="E47" s="142">
        <v>6</v>
      </c>
      <c r="F47" s="144">
        <v>0</v>
      </c>
      <c r="G47" s="144">
        <v>-83.333333333333343</v>
      </c>
      <c r="H47" s="144">
        <v>0</v>
      </c>
      <c r="I47" s="144">
        <v>0</v>
      </c>
    </row>
    <row r="48" spans="1:9">
      <c r="A48" s="167" t="s">
        <v>1104</v>
      </c>
      <c r="B48" s="142">
        <v>0</v>
      </c>
      <c r="C48" s="142">
        <v>0</v>
      </c>
      <c r="D48" s="142">
        <v>1</v>
      </c>
      <c r="E48" s="142">
        <v>6</v>
      </c>
      <c r="F48" s="144">
        <v>0</v>
      </c>
      <c r="G48" s="144">
        <v>-83.333333333333343</v>
      </c>
      <c r="H48" s="144">
        <v>0</v>
      </c>
      <c r="I48" s="144">
        <v>0</v>
      </c>
    </row>
    <row r="49" spans="1:9">
      <c r="A49" s="166" t="s">
        <v>316</v>
      </c>
      <c r="B49" s="142">
        <v>114</v>
      </c>
      <c r="C49" s="142">
        <v>136</v>
      </c>
      <c r="D49" s="142">
        <v>898</v>
      </c>
      <c r="E49" s="142">
        <v>1323</v>
      </c>
      <c r="F49" s="144">
        <v>-16.176470588235293</v>
      </c>
      <c r="G49" s="144">
        <v>-32.123960695389265</v>
      </c>
      <c r="H49" s="144">
        <v>0.43</v>
      </c>
      <c r="I49" s="144">
        <v>0.65</v>
      </c>
    </row>
    <row r="50" spans="1:9">
      <c r="A50" s="167" t="s">
        <v>290</v>
      </c>
      <c r="B50" s="142">
        <v>114</v>
      </c>
      <c r="C50" s="142">
        <v>136</v>
      </c>
      <c r="D50" s="142">
        <v>898</v>
      </c>
      <c r="E50" s="142">
        <v>1323</v>
      </c>
      <c r="F50" s="144">
        <v>-16.176470588235293</v>
      </c>
      <c r="G50" s="144">
        <v>-32.123960695389265</v>
      </c>
      <c r="H50" s="144">
        <v>0.43</v>
      </c>
      <c r="I50" s="144">
        <v>0.65</v>
      </c>
    </row>
    <row r="51" spans="1:9">
      <c r="A51" s="166" t="s">
        <v>574</v>
      </c>
      <c r="B51" s="142">
        <v>54</v>
      </c>
      <c r="C51" s="142">
        <v>219</v>
      </c>
      <c r="D51" s="142">
        <v>1297</v>
      </c>
      <c r="E51" s="142">
        <v>1598</v>
      </c>
      <c r="F51" s="144">
        <v>-75.342465753424662</v>
      </c>
      <c r="G51" s="144">
        <v>-18.836045056320401</v>
      </c>
      <c r="H51" s="144">
        <v>0.62</v>
      </c>
      <c r="I51" s="144">
        <v>0.78</v>
      </c>
    </row>
    <row r="52" spans="1:9">
      <c r="A52" s="167" t="s">
        <v>574</v>
      </c>
      <c r="B52" s="142">
        <v>54</v>
      </c>
      <c r="C52" s="142">
        <v>219</v>
      </c>
      <c r="D52" s="142">
        <v>1297</v>
      </c>
      <c r="E52" s="142">
        <v>1598</v>
      </c>
      <c r="F52" s="144">
        <v>-75.342465753424662</v>
      </c>
      <c r="G52" s="144">
        <v>-18.836045056320401</v>
      </c>
      <c r="H52" s="144">
        <v>0.62</v>
      </c>
      <c r="I52" s="144">
        <v>0.78</v>
      </c>
    </row>
    <row r="53" spans="1:9">
      <c r="A53" s="166" t="s">
        <v>317</v>
      </c>
      <c r="B53" s="142">
        <v>237</v>
      </c>
      <c r="C53" s="142">
        <v>510</v>
      </c>
      <c r="D53" s="142">
        <v>2489</v>
      </c>
      <c r="E53" s="142">
        <v>1653</v>
      </c>
      <c r="F53" s="144">
        <v>-53.529411764705884</v>
      </c>
      <c r="G53" s="144">
        <v>50.574712643678168</v>
      </c>
      <c r="H53" s="144">
        <v>1.19</v>
      </c>
      <c r="I53" s="144">
        <v>0.81</v>
      </c>
    </row>
    <row r="54" spans="1:9">
      <c r="A54" s="167" t="s">
        <v>277</v>
      </c>
      <c r="B54" s="142">
        <v>237</v>
      </c>
      <c r="C54" s="142">
        <v>510</v>
      </c>
      <c r="D54" s="142">
        <v>2489</v>
      </c>
      <c r="E54" s="142">
        <v>1653</v>
      </c>
      <c r="F54" s="144">
        <v>-53.529411764705884</v>
      </c>
      <c r="G54" s="144">
        <v>50.574712643678168</v>
      </c>
      <c r="H54" s="144">
        <v>1.19</v>
      </c>
      <c r="I54" s="144">
        <v>0.81</v>
      </c>
    </row>
    <row r="55" spans="1:9">
      <c r="A55" s="166" t="s">
        <v>351</v>
      </c>
      <c r="B55" s="142">
        <v>1588</v>
      </c>
      <c r="C55" s="142">
        <v>1374</v>
      </c>
      <c r="D55" s="142">
        <v>10911</v>
      </c>
      <c r="E55" s="142">
        <v>11789</v>
      </c>
      <c r="F55" s="144">
        <v>15.574963609898107</v>
      </c>
      <c r="G55" s="144">
        <v>-7.4476206633302233</v>
      </c>
      <c r="H55" s="144">
        <v>5.2</v>
      </c>
      <c r="I55" s="144">
        <v>5.76</v>
      </c>
    </row>
    <row r="56" spans="1:9">
      <c r="A56" s="167" t="s">
        <v>378</v>
      </c>
      <c r="B56" s="142">
        <v>1576</v>
      </c>
      <c r="C56" s="142">
        <v>1359</v>
      </c>
      <c r="D56" s="142">
        <v>10805</v>
      </c>
      <c r="E56" s="142">
        <v>11680</v>
      </c>
      <c r="F56" s="144">
        <v>15.967623252391464</v>
      </c>
      <c r="G56" s="144">
        <v>-7.4914383561643829</v>
      </c>
      <c r="H56" s="144">
        <v>5.15</v>
      </c>
      <c r="I56" s="144">
        <v>5.71</v>
      </c>
    </row>
    <row r="57" spans="1:9">
      <c r="A57" s="167" t="s">
        <v>278</v>
      </c>
      <c r="B57" s="142">
        <v>10</v>
      </c>
      <c r="C57" s="142">
        <v>15</v>
      </c>
      <c r="D57" s="142">
        <v>102</v>
      </c>
      <c r="E57" s="142">
        <v>108</v>
      </c>
      <c r="F57" s="144">
        <v>-33.333333333333329</v>
      </c>
      <c r="G57" s="144">
        <v>-5.5555555555555554</v>
      </c>
      <c r="H57" s="144">
        <v>0.05</v>
      </c>
      <c r="I57" s="144">
        <v>0.05</v>
      </c>
    </row>
    <row r="58" spans="1:9">
      <c r="A58" s="167" t="s">
        <v>1161</v>
      </c>
      <c r="B58" s="142">
        <v>2</v>
      </c>
      <c r="C58" s="142">
        <v>0</v>
      </c>
      <c r="D58" s="142">
        <v>4</v>
      </c>
      <c r="E58" s="142">
        <v>1</v>
      </c>
      <c r="F58" s="144">
        <v>0</v>
      </c>
      <c r="G58" s="144">
        <v>300</v>
      </c>
      <c r="H58" s="144">
        <v>0</v>
      </c>
      <c r="I58" s="144">
        <v>0</v>
      </c>
    </row>
    <row r="59" spans="1:9">
      <c r="A59" s="166" t="s">
        <v>1067</v>
      </c>
      <c r="B59" s="142">
        <v>11</v>
      </c>
      <c r="C59" s="142">
        <v>0</v>
      </c>
      <c r="D59" s="142">
        <v>143</v>
      </c>
      <c r="E59" s="142">
        <v>0</v>
      </c>
      <c r="F59" s="144">
        <v>0</v>
      </c>
      <c r="G59" s="144">
        <v>0</v>
      </c>
      <c r="H59" s="144">
        <v>7.0000000000000007E-2</v>
      </c>
      <c r="I59" s="144">
        <v>0</v>
      </c>
    </row>
    <row r="60" spans="1:9">
      <c r="A60" s="167" t="s">
        <v>1064</v>
      </c>
      <c r="B60" s="142">
        <v>11</v>
      </c>
      <c r="C60" s="142">
        <v>0</v>
      </c>
      <c r="D60" s="142">
        <v>143</v>
      </c>
      <c r="E60" s="142">
        <v>0</v>
      </c>
      <c r="F60" s="144">
        <v>0</v>
      </c>
      <c r="G60" s="144">
        <v>0</v>
      </c>
      <c r="H60" s="144">
        <v>7.0000000000000007E-2</v>
      </c>
      <c r="I60" s="144">
        <v>0</v>
      </c>
    </row>
    <row r="61" spans="1:9">
      <c r="A61" s="166" t="s">
        <v>318</v>
      </c>
      <c r="B61" s="142">
        <v>562</v>
      </c>
      <c r="C61" s="142">
        <v>554</v>
      </c>
      <c r="D61" s="142">
        <v>3583</v>
      </c>
      <c r="E61" s="142">
        <v>4357</v>
      </c>
      <c r="F61" s="144">
        <v>1.4440433212996391</v>
      </c>
      <c r="G61" s="144">
        <v>-17.764516869405554</v>
      </c>
      <c r="H61" s="144">
        <v>1.71</v>
      </c>
      <c r="I61" s="144">
        <v>2.13</v>
      </c>
    </row>
    <row r="62" spans="1:9">
      <c r="A62" s="167" t="s">
        <v>282</v>
      </c>
      <c r="B62" s="142">
        <v>562</v>
      </c>
      <c r="C62" s="142">
        <v>554</v>
      </c>
      <c r="D62" s="142">
        <v>3583</v>
      </c>
      <c r="E62" s="142">
        <v>4357</v>
      </c>
      <c r="F62" s="144">
        <v>1.4440433212996391</v>
      </c>
      <c r="G62" s="144">
        <v>-17.764516869405554</v>
      </c>
      <c r="H62" s="144">
        <v>1.71</v>
      </c>
      <c r="I62" s="144">
        <v>2.13</v>
      </c>
    </row>
    <row r="63" spans="1:9">
      <c r="A63" s="166" t="s">
        <v>406</v>
      </c>
      <c r="B63" s="142">
        <v>304</v>
      </c>
      <c r="C63" s="142">
        <v>274</v>
      </c>
      <c r="D63" s="142">
        <v>2718</v>
      </c>
      <c r="E63" s="142">
        <v>2809</v>
      </c>
      <c r="F63" s="144">
        <v>10.948905109489052</v>
      </c>
      <c r="G63" s="144">
        <v>-3.2395870416518333</v>
      </c>
      <c r="H63" s="144">
        <v>1.29</v>
      </c>
      <c r="I63" s="144">
        <v>1.37</v>
      </c>
    </row>
    <row r="64" spans="1:9">
      <c r="A64" s="167" t="s">
        <v>322</v>
      </c>
      <c r="B64" s="142">
        <v>304</v>
      </c>
      <c r="C64" s="142">
        <v>274</v>
      </c>
      <c r="D64" s="142">
        <v>2718</v>
      </c>
      <c r="E64" s="142">
        <v>2809</v>
      </c>
      <c r="F64" s="144">
        <v>10.948905109489052</v>
      </c>
      <c r="G64" s="144">
        <v>-3.2395870416518333</v>
      </c>
      <c r="H64" s="144">
        <v>1.29</v>
      </c>
      <c r="I64" s="144">
        <v>1.37</v>
      </c>
    </row>
    <row r="65" spans="1:9">
      <c r="A65" s="166" t="s">
        <v>439</v>
      </c>
      <c r="B65" s="142">
        <v>11</v>
      </c>
      <c r="C65" s="142">
        <v>7</v>
      </c>
      <c r="D65" s="142">
        <v>93</v>
      </c>
      <c r="E65" s="142">
        <v>108</v>
      </c>
      <c r="F65" s="144">
        <v>57.142857142857139</v>
      </c>
      <c r="G65" s="144">
        <v>-13.888888888888889</v>
      </c>
      <c r="H65" s="144">
        <v>0.04</v>
      </c>
      <c r="I65" s="144">
        <v>0.05</v>
      </c>
    </row>
    <row r="66" spans="1:9">
      <c r="A66" s="167" t="s">
        <v>414</v>
      </c>
      <c r="B66" s="142">
        <v>9</v>
      </c>
      <c r="C66" s="142">
        <v>7</v>
      </c>
      <c r="D66" s="142">
        <v>91</v>
      </c>
      <c r="E66" s="142">
        <v>108</v>
      </c>
      <c r="F66" s="144">
        <v>28.571428571428569</v>
      </c>
      <c r="G66" s="144">
        <v>-15.74074074074074</v>
      </c>
      <c r="H66" s="144">
        <v>0.04</v>
      </c>
      <c r="I66" s="144">
        <v>0.05</v>
      </c>
    </row>
    <row r="67" spans="1:9">
      <c r="A67" s="167" t="s">
        <v>1273</v>
      </c>
      <c r="B67" s="142">
        <v>2</v>
      </c>
      <c r="C67" s="142">
        <v>0</v>
      </c>
      <c r="D67" s="142">
        <v>2</v>
      </c>
      <c r="E67" s="142">
        <v>0</v>
      </c>
      <c r="F67" s="144">
        <v>0</v>
      </c>
      <c r="G67" s="144">
        <v>0</v>
      </c>
      <c r="H67" s="144">
        <v>0</v>
      </c>
      <c r="I67" s="144">
        <v>0</v>
      </c>
    </row>
    <row r="68" spans="1:9">
      <c r="A68" s="166" t="s">
        <v>575</v>
      </c>
      <c r="B68" s="142">
        <v>3164</v>
      </c>
      <c r="C68" s="142">
        <v>915</v>
      </c>
      <c r="D68" s="142">
        <v>16309</v>
      </c>
      <c r="E68" s="142">
        <v>6947</v>
      </c>
      <c r="F68" s="144">
        <v>245.79234972677594</v>
      </c>
      <c r="G68" s="144">
        <v>134.76320713977256</v>
      </c>
      <c r="H68" s="144">
        <v>7.77</v>
      </c>
      <c r="I68" s="144">
        <v>3.39</v>
      </c>
    </row>
    <row r="69" spans="1:9">
      <c r="A69" s="167" t="s">
        <v>291</v>
      </c>
      <c r="B69" s="142">
        <v>3164</v>
      </c>
      <c r="C69" s="142">
        <v>915</v>
      </c>
      <c r="D69" s="142">
        <v>16309</v>
      </c>
      <c r="E69" s="142">
        <v>6947</v>
      </c>
      <c r="F69" s="144">
        <v>245.79234972677594</v>
      </c>
      <c r="G69" s="144">
        <v>134.76320713977256</v>
      </c>
      <c r="H69" s="144">
        <v>7.77</v>
      </c>
      <c r="I69" s="144">
        <v>3.39</v>
      </c>
    </row>
    <row r="70" spans="1:9">
      <c r="A70" s="166" t="s">
        <v>319</v>
      </c>
      <c r="B70" s="142">
        <v>2206</v>
      </c>
      <c r="C70" s="142">
        <v>2100</v>
      </c>
      <c r="D70" s="142">
        <v>19004</v>
      </c>
      <c r="E70" s="142">
        <v>18256</v>
      </c>
      <c r="F70" s="144">
        <v>5.0476190476190474</v>
      </c>
      <c r="G70" s="144">
        <v>4.0972830850131468</v>
      </c>
      <c r="H70" s="144">
        <v>9.06</v>
      </c>
      <c r="I70" s="144">
        <v>8.92</v>
      </c>
    </row>
    <row r="71" spans="1:9">
      <c r="A71" s="167" t="s">
        <v>275</v>
      </c>
      <c r="B71" s="142">
        <v>315</v>
      </c>
      <c r="C71" s="142">
        <v>101</v>
      </c>
      <c r="D71" s="142">
        <v>1902</v>
      </c>
      <c r="E71" s="142">
        <v>806</v>
      </c>
      <c r="F71" s="144">
        <v>211.88118811881191</v>
      </c>
      <c r="G71" s="144">
        <v>135.98014888337468</v>
      </c>
      <c r="H71" s="144">
        <v>0.91</v>
      </c>
      <c r="I71" s="144">
        <v>0.39</v>
      </c>
    </row>
    <row r="72" spans="1:9">
      <c r="A72" s="167" t="s">
        <v>292</v>
      </c>
      <c r="B72" s="142">
        <v>1891</v>
      </c>
      <c r="C72" s="142">
        <v>1999</v>
      </c>
      <c r="D72" s="142">
        <v>17102</v>
      </c>
      <c r="E72" s="142">
        <v>17450</v>
      </c>
      <c r="F72" s="144">
        <v>-5.4027013506753372</v>
      </c>
      <c r="G72" s="144">
        <v>-1.994269340974212</v>
      </c>
      <c r="H72" s="144">
        <v>8.15</v>
      </c>
      <c r="I72" s="144">
        <v>8.5299999999999994</v>
      </c>
    </row>
    <row r="73" spans="1:9">
      <c r="A73" s="166" t="s">
        <v>320</v>
      </c>
      <c r="B73" s="142">
        <v>7075</v>
      </c>
      <c r="C73" s="142">
        <v>5395</v>
      </c>
      <c r="D73" s="142">
        <v>53557</v>
      </c>
      <c r="E73" s="142">
        <v>47709</v>
      </c>
      <c r="F73" s="144">
        <v>31.139944392956444</v>
      </c>
      <c r="G73" s="144">
        <v>12.257645308013162</v>
      </c>
      <c r="H73" s="144">
        <v>25.51</v>
      </c>
      <c r="I73" s="144">
        <v>23.32</v>
      </c>
    </row>
    <row r="74" spans="1:9">
      <c r="A74" s="167" t="s">
        <v>259</v>
      </c>
      <c r="B74" s="142">
        <v>1500</v>
      </c>
      <c r="C74" s="142">
        <v>971</v>
      </c>
      <c r="D74" s="142">
        <v>12997</v>
      </c>
      <c r="E74" s="142">
        <v>9167</v>
      </c>
      <c r="F74" s="144">
        <v>54.479917610710601</v>
      </c>
      <c r="G74" s="144">
        <v>41.780298898221886</v>
      </c>
      <c r="H74" s="144">
        <v>6.19</v>
      </c>
      <c r="I74" s="144">
        <v>4.4800000000000004</v>
      </c>
    </row>
    <row r="75" spans="1:9">
      <c r="A75" s="167" t="s">
        <v>285</v>
      </c>
      <c r="B75" s="142">
        <v>214</v>
      </c>
      <c r="C75" s="142">
        <v>125</v>
      </c>
      <c r="D75" s="142">
        <v>2341</v>
      </c>
      <c r="E75" s="142">
        <v>1970</v>
      </c>
      <c r="F75" s="144">
        <v>71.2</v>
      </c>
      <c r="G75" s="144">
        <v>18.832487309644669</v>
      </c>
      <c r="H75" s="144">
        <v>1.1100000000000001</v>
      </c>
      <c r="I75" s="144">
        <v>0.96</v>
      </c>
    </row>
    <row r="76" spans="1:9">
      <c r="A76" s="167" t="s">
        <v>287</v>
      </c>
      <c r="B76" s="142">
        <v>164</v>
      </c>
      <c r="C76" s="142">
        <v>470</v>
      </c>
      <c r="D76" s="142">
        <v>1909</v>
      </c>
      <c r="E76" s="142">
        <v>3944</v>
      </c>
      <c r="F76" s="144">
        <v>-65.106382978723403</v>
      </c>
      <c r="G76" s="144">
        <v>-51.597363083164304</v>
      </c>
      <c r="H76" s="144">
        <v>0.91</v>
      </c>
      <c r="I76" s="144">
        <v>1.93</v>
      </c>
    </row>
    <row r="77" spans="1:9">
      <c r="A77" s="167" t="s">
        <v>288</v>
      </c>
      <c r="B77" s="142">
        <v>1305</v>
      </c>
      <c r="C77" s="142">
        <v>1112</v>
      </c>
      <c r="D77" s="142">
        <v>9755</v>
      </c>
      <c r="E77" s="142">
        <v>8548</v>
      </c>
      <c r="F77" s="144">
        <v>17.35611510791367</v>
      </c>
      <c r="G77" s="144">
        <v>14.120262049602248</v>
      </c>
      <c r="H77" s="144">
        <v>4.6500000000000004</v>
      </c>
      <c r="I77" s="144">
        <v>4.18</v>
      </c>
    </row>
    <row r="78" spans="1:9">
      <c r="A78" s="167" t="s">
        <v>293</v>
      </c>
      <c r="B78" s="142">
        <v>3340</v>
      </c>
      <c r="C78" s="142">
        <v>2717</v>
      </c>
      <c r="D78" s="142">
        <v>24064</v>
      </c>
      <c r="E78" s="142">
        <v>24080</v>
      </c>
      <c r="F78" s="144">
        <v>22.9297018770703</v>
      </c>
      <c r="G78" s="144">
        <v>-6.6445182724252497E-2</v>
      </c>
      <c r="H78" s="144">
        <v>11.46</v>
      </c>
      <c r="I78" s="144">
        <v>11.77</v>
      </c>
    </row>
    <row r="79" spans="1:9">
      <c r="A79" s="167" t="s">
        <v>1063</v>
      </c>
      <c r="B79" s="142">
        <v>552</v>
      </c>
      <c r="C79" s="142">
        <v>0</v>
      </c>
      <c r="D79" s="142">
        <v>2491</v>
      </c>
      <c r="E79" s="142">
        <v>0</v>
      </c>
      <c r="F79" s="144">
        <v>0</v>
      </c>
      <c r="G79" s="144">
        <v>0</v>
      </c>
      <c r="H79" s="144">
        <v>1.19</v>
      </c>
      <c r="I79" s="144">
        <v>0</v>
      </c>
    </row>
    <row r="80" spans="1:9">
      <c r="A80" s="166" t="s">
        <v>321</v>
      </c>
      <c r="B80" s="142">
        <v>3258</v>
      </c>
      <c r="C80" s="142">
        <v>2496</v>
      </c>
      <c r="D80" s="142">
        <v>27479</v>
      </c>
      <c r="E80" s="142">
        <v>28189</v>
      </c>
      <c r="F80" s="144">
        <v>30.528846153846157</v>
      </c>
      <c r="G80" s="144">
        <v>-2.5187129731455529</v>
      </c>
      <c r="H80" s="144">
        <v>13.09</v>
      </c>
      <c r="I80" s="144">
        <v>13.77</v>
      </c>
    </row>
    <row r="81" spans="1:9">
      <c r="A81" s="167" t="s">
        <v>322</v>
      </c>
      <c r="B81" s="142">
        <v>0</v>
      </c>
      <c r="C81" s="142">
        <v>0</v>
      </c>
      <c r="D81" s="142">
        <v>0</v>
      </c>
      <c r="E81" s="142">
        <v>8</v>
      </c>
      <c r="F81" s="144">
        <v>0</v>
      </c>
      <c r="G81" s="144">
        <v>-100</v>
      </c>
      <c r="H81" s="144">
        <v>0</v>
      </c>
      <c r="I81" s="144">
        <v>0</v>
      </c>
    </row>
    <row r="82" spans="1:9">
      <c r="A82" s="167" t="s">
        <v>294</v>
      </c>
      <c r="B82" s="142">
        <v>3258</v>
      </c>
      <c r="C82" s="142">
        <v>2496</v>
      </c>
      <c r="D82" s="142">
        <v>27479</v>
      </c>
      <c r="E82" s="142">
        <v>28181</v>
      </c>
      <c r="F82" s="144">
        <v>30.528846153846157</v>
      </c>
      <c r="G82" s="144">
        <v>-2.4910400624534259</v>
      </c>
      <c r="H82" s="144">
        <v>13.09</v>
      </c>
      <c r="I82" s="144">
        <v>13.77</v>
      </c>
    </row>
    <row r="83" spans="1:9">
      <c r="A83" s="166" t="s">
        <v>1163</v>
      </c>
      <c r="B83" s="142">
        <v>52</v>
      </c>
      <c r="C83" s="142">
        <v>0</v>
      </c>
      <c r="D83" s="142">
        <v>79</v>
      </c>
      <c r="E83" s="142">
        <v>10</v>
      </c>
      <c r="F83" s="144">
        <v>0</v>
      </c>
      <c r="G83" s="144">
        <v>690</v>
      </c>
      <c r="H83" s="144">
        <v>0.04</v>
      </c>
      <c r="I83" s="144">
        <v>0</v>
      </c>
    </row>
    <row r="84" spans="1:9">
      <c r="A84" s="167" t="s">
        <v>1162</v>
      </c>
      <c r="B84" s="142">
        <v>52</v>
      </c>
      <c r="C84" s="142">
        <v>0</v>
      </c>
      <c r="D84" s="142">
        <v>79</v>
      </c>
      <c r="E84" s="142">
        <v>10</v>
      </c>
      <c r="F84" s="144">
        <v>0</v>
      </c>
      <c r="G84" s="144">
        <v>690</v>
      </c>
      <c r="H84" s="144">
        <v>0.04</v>
      </c>
      <c r="I84" s="144">
        <v>0</v>
      </c>
    </row>
    <row r="85" spans="1:9">
      <c r="A85" s="166" t="s">
        <v>207</v>
      </c>
      <c r="B85" s="142">
        <v>61</v>
      </c>
      <c r="C85" s="142">
        <v>47</v>
      </c>
      <c r="D85" s="142">
        <v>428</v>
      </c>
      <c r="E85" s="142">
        <v>415</v>
      </c>
      <c r="F85" s="144">
        <v>29.787234042553191</v>
      </c>
      <c r="G85" s="144">
        <v>3.132530120481928</v>
      </c>
      <c r="H85" s="144">
        <v>0.2</v>
      </c>
      <c r="I85" s="144">
        <v>0.2</v>
      </c>
    </row>
    <row r="86" spans="1:9">
      <c r="A86" s="167" t="s">
        <v>295</v>
      </c>
      <c r="B86" s="142">
        <v>59</v>
      </c>
      <c r="C86" s="142">
        <v>47</v>
      </c>
      <c r="D86" s="142">
        <v>426</v>
      </c>
      <c r="E86" s="142">
        <v>415</v>
      </c>
      <c r="F86" s="144">
        <v>25.531914893617021</v>
      </c>
      <c r="G86" s="144">
        <v>2.6506024096385543</v>
      </c>
      <c r="H86" s="144">
        <v>0.2</v>
      </c>
      <c r="I86" s="144">
        <v>0.2</v>
      </c>
    </row>
    <row r="87" spans="1:9">
      <c r="A87" s="167" t="s">
        <v>276</v>
      </c>
      <c r="B87" s="142">
        <v>2</v>
      </c>
      <c r="C87" s="142">
        <v>0</v>
      </c>
      <c r="D87" s="142">
        <v>2</v>
      </c>
      <c r="E87" s="142">
        <v>0</v>
      </c>
      <c r="F87" s="144">
        <v>0</v>
      </c>
      <c r="G87" s="144">
        <v>0</v>
      </c>
      <c r="H87" s="144">
        <v>0</v>
      </c>
      <c r="I87" s="144">
        <v>0</v>
      </c>
    </row>
    <row r="88" spans="1:9">
      <c r="A88" s="166" t="s">
        <v>454</v>
      </c>
      <c r="B88" s="142">
        <v>28135</v>
      </c>
      <c r="C88" s="142">
        <v>22048</v>
      </c>
      <c r="D88" s="142">
        <v>209969</v>
      </c>
      <c r="E88" s="142">
        <v>204640</v>
      </c>
      <c r="F88" s="144">
        <v>27.607946298984036</v>
      </c>
      <c r="G88" s="144">
        <v>2.6040852228303364</v>
      </c>
      <c r="H88" s="144">
        <v>100.05000000000001</v>
      </c>
      <c r="I88" s="144">
        <v>99.96</v>
      </c>
    </row>
    <row r="89" spans="1:9">
      <c r="A89" s="55"/>
      <c r="B89" s="55"/>
      <c r="C89" s="55"/>
      <c r="D89"/>
      <c r="E89"/>
      <c r="F89"/>
      <c r="G89"/>
      <c r="H89"/>
      <c r="I89"/>
    </row>
    <row r="90" spans="1:9">
      <c r="A90" s="55"/>
      <c r="B90" s="55"/>
      <c r="C90" s="55"/>
      <c r="D90"/>
      <c r="E90"/>
      <c r="F90"/>
      <c r="G90"/>
      <c r="H90"/>
      <c r="I90"/>
    </row>
    <row r="91" spans="1:9">
      <c r="A91" s="55"/>
      <c r="B91" s="55"/>
      <c r="C91" s="55"/>
      <c r="D91"/>
      <c r="E91"/>
      <c r="F91"/>
      <c r="G91"/>
      <c r="H91"/>
      <c r="I91"/>
    </row>
    <row r="92" spans="1:9">
      <c r="A92" s="20" t="s">
        <v>1047</v>
      </c>
      <c r="B92" s="55"/>
      <c r="C92" s="55"/>
      <c r="D92"/>
      <c r="E92"/>
      <c r="F92"/>
      <c r="G92"/>
      <c r="H92"/>
      <c r="I92"/>
    </row>
    <row r="93" spans="1:9">
      <c r="A93" s="55" t="s">
        <v>1041</v>
      </c>
      <c r="B93" s="55" t="s">
        <v>674</v>
      </c>
      <c r="C93" s="55"/>
      <c r="D93"/>
      <c r="E93"/>
      <c r="F93"/>
      <c r="G93"/>
      <c r="H93"/>
      <c r="I93"/>
    </row>
    <row r="94" spans="1:9">
      <c r="A94" s="55" t="s">
        <v>601</v>
      </c>
      <c r="B94" s="55" t="s">
        <v>589</v>
      </c>
      <c r="C94" s="55"/>
      <c r="D94"/>
      <c r="E94"/>
      <c r="F94"/>
      <c r="G94"/>
      <c r="H94"/>
      <c r="I94"/>
    </row>
    <row r="95" spans="1:9">
      <c r="A95" s="55" t="s">
        <v>458</v>
      </c>
      <c r="B95" s="55" t="s">
        <v>1048</v>
      </c>
      <c r="C95" s="55"/>
    </row>
    <row r="96" spans="1:9">
      <c r="A96" s="55" t="s">
        <v>699</v>
      </c>
      <c r="B96" s="55" t="s">
        <v>1049</v>
      </c>
      <c r="C96" s="55"/>
    </row>
    <row r="97" spans="1:3">
      <c r="A97" s="55" t="s">
        <v>1050</v>
      </c>
      <c r="B97" s="55" t="s">
        <v>1051</v>
      </c>
      <c r="C97" s="55"/>
    </row>
    <row r="98" spans="1:3">
      <c r="A98" s="55" t="s">
        <v>1052</v>
      </c>
      <c r="B98" s="55" t="s">
        <v>1053</v>
      </c>
      <c r="C98" s="55"/>
    </row>
    <row r="99" spans="1:3">
      <c r="A99" s="55" t="s">
        <v>1125</v>
      </c>
      <c r="B99" s="55" t="s">
        <v>1126</v>
      </c>
    </row>
  </sheetData>
  <mergeCells count="5">
    <mergeCell ref="B5:C5"/>
    <mergeCell ref="D5:E5"/>
    <mergeCell ref="F5:G5"/>
    <mergeCell ref="H5:I5"/>
    <mergeCell ref="F4:I4"/>
  </mergeCells>
  <conditionalFormatting sqref="H3">
    <cfRule type="cellIs" dxfId="5" priority="1" operator="lessThan">
      <formula>-20</formula>
    </cfRule>
    <cfRule type="cellIs" dxfId="4" priority="2" operator="greaterThan">
      <formula>20</formula>
    </cfRule>
  </conditionalFormatting>
  <dataValidations count="3">
    <dataValidation allowBlank="1" showInputMessage="1" showErrorMessage="1" prompt="visar antalet registreringar för den aktuella månaden i år." sqref="B6:E6" xr:uid="{00000000-0002-0000-0400-000000000000}"/>
    <dataValidation allowBlank="1" showInputMessage="1" showErrorMessage="1" prompt="förändring i antalet registreringar ackumulerat från årets början t.o.m den aktuella månaden." sqref="G6" xr:uid="{00000000-0002-0000-0400-000001000000}"/>
    <dataValidation allowBlank="1" showInputMessage="1" showErrorMessage="1" prompt="förändring i marknads-andelen ackumulerat från årets början t.o.m den aktuella månaden." sqref="H6:I6" xr:uid="{00000000-0002-0000-0400-000002000000}"/>
  </dataValidations>
  <pageMargins left="0.70866141732283472" right="0.70866141732283472" top="0.74803149606299213" bottom="0.74803149606299213" header="0.31496062992125984" footer="0.31496062992125984"/>
  <pageSetup paperSize="9"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P60"/>
  <sheetViews>
    <sheetView workbookViewId="0">
      <selection activeCell="K14" sqref="K14"/>
    </sheetView>
  </sheetViews>
  <sheetFormatPr baseColWidth="10" defaultColWidth="8.83203125" defaultRowHeight="15"/>
  <cols>
    <col min="1" max="1" width="17.1640625" customWidth="1"/>
    <col min="2" max="7" width="13.6640625" customWidth="1"/>
    <col min="8" max="8" width="13.6640625" style="11" customWidth="1"/>
    <col min="9" max="9" width="13.6640625" customWidth="1"/>
    <col min="10" max="10" width="13.6640625" style="8" customWidth="1"/>
    <col min="11" max="11" width="10.5" customWidth="1"/>
    <col min="12" max="12" width="15.33203125" customWidth="1"/>
    <col min="18" max="18" width="11.33203125" customWidth="1"/>
  </cols>
  <sheetData>
    <row r="2" spans="1:15" ht="19.25" customHeight="1" thickBot="1">
      <c r="C2" s="56" t="s">
        <v>331</v>
      </c>
      <c r="D2" s="56"/>
      <c r="E2" s="56"/>
      <c r="F2" s="56"/>
    </row>
    <row r="3" spans="1:15" ht="14" customHeight="1"/>
    <row r="4" spans="1:15">
      <c r="F4" s="257" t="s">
        <v>452</v>
      </c>
      <c r="G4" s="257"/>
      <c r="H4" s="257"/>
      <c r="I4" s="257"/>
    </row>
    <row r="5" spans="1:15">
      <c r="A5" s="96"/>
      <c r="B5" s="254" t="s">
        <v>535</v>
      </c>
      <c r="C5" s="255"/>
      <c r="D5" s="256" t="s">
        <v>537</v>
      </c>
      <c r="E5" s="255"/>
      <c r="F5" s="254" t="s">
        <v>535</v>
      </c>
      <c r="G5" s="255"/>
      <c r="H5" s="256" t="s">
        <v>537</v>
      </c>
      <c r="I5" s="255"/>
      <c r="J5" s="111" t="s">
        <v>536</v>
      </c>
    </row>
    <row r="6" spans="1:15">
      <c r="A6" s="108" t="s">
        <v>470</v>
      </c>
      <c r="B6" s="109" t="str">
        <f>Innehåll!D79</f>
        <v xml:space="preserve"> 2023-09</v>
      </c>
      <c r="C6" s="109" t="str">
        <f>Innehåll!D80</f>
        <v xml:space="preserve"> 2022-09</v>
      </c>
      <c r="D6" s="109" t="str">
        <f>B6</f>
        <v xml:space="preserve"> 2023-09</v>
      </c>
      <c r="E6" s="110" t="str">
        <f>C6</f>
        <v xml:space="preserve"> 2022-09</v>
      </c>
      <c r="F6" s="109" t="str">
        <f>Innehåll!D81</f>
        <v>YTD  2023</v>
      </c>
      <c r="G6" s="109" t="str">
        <f>Innehåll!D82</f>
        <v>YTD  2022</v>
      </c>
      <c r="H6" s="111" t="str">
        <f>F6</f>
        <v>YTD  2023</v>
      </c>
      <c r="I6" s="112" t="str">
        <f>G6</f>
        <v>YTD  2022</v>
      </c>
      <c r="J6" s="111" t="str">
        <f>Innehåll!D81</f>
        <v>YTD  2023</v>
      </c>
    </row>
    <row r="7" spans="1:15" ht="15" hidden="1" customHeight="1">
      <c r="A7" s="67" t="s">
        <v>332</v>
      </c>
      <c r="B7" s="68" t="s">
        <v>26</v>
      </c>
      <c r="C7" s="69" t="s">
        <v>298</v>
      </c>
      <c r="D7" s="25" t="s">
        <v>333</v>
      </c>
      <c r="E7" s="25" t="s">
        <v>334</v>
      </c>
      <c r="F7" s="25" t="s">
        <v>299</v>
      </c>
      <c r="G7" s="25" t="s">
        <v>300</v>
      </c>
      <c r="H7" s="25" t="s">
        <v>335</v>
      </c>
      <c r="I7" s="25" t="s">
        <v>336</v>
      </c>
      <c r="J7" s="58" t="s">
        <v>337</v>
      </c>
    </row>
    <row r="8" spans="1:15">
      <c r="A8" s="41" t="s">
        <v>20</v>
      </c>
      <c r="B8" s="61">
        <v>12500</v>
      </c>
      <c r="C8" s="61">
        <v>7777</v>
      </c>
      <c r="D8" s="58">
        <f>IF(getAggPBFuelTypes[[#This Row],[antalPerioden]]&gt;0,((B8/getAggPBFuelTypes[[#Totals],[antalPerioden]]) * 100),0)</f>
        <v>44.428647591967305</v>
      </c>
      <c r="E8" s="58">
        <f>((C8/getAggPBFuelTypes[[#Totals],[antalPeriodenFG]]) * 100)</f>
        <v>35.27304063860668</v>
      </c>
      <c r="F8" s="61">
        <v>81212</v>
      </c>
      <c r="G8" s="61">
        <v>58022</v>
      </c>
      <c r="H8" s="58">
        <f>((F8/getAggPBFuelTypes[[#Totals],[antalAret]]) * 100)</f>
        <v>38.678090575275398</v>
      </c>
      <c r="I8" s="58">
        <f>((G8/getAggPBFuelTypes[[#Totals],[antalAretFG]]) * 100)</f>
        <v>28.353205629397966</v>
      </c>
      <c r="J8" s="42">
        <f t="shared" ref="J8:J15" si="0">IF(G8 = 0,0,(F8-G8)/G8)</f>
        <v>0.39967598497121781</v>
      </c>
      <c r="L8" s="274" t="s">
        <v>1327</v>
      </c>
      <c r="M8" s="274"/>
      <c r="N8" s="274"/>
      <c r="O8" s="274"/>
    </row>
    <row r="9" spans="1:15">
      <c r="A9" s="41" t="s">
        <v>16</v>
      </c>
      <c r="B9" s="61">
        <v>5624</v>
      </c>
      <c r="C9" s="61">
        <v>4651</v>
      </c>
      <c r="D9" s="58">
        <f>IF(getAggPBFuelTypes[[#This Row],[antalPerioden]]&gt;0,((B9/getAggPBFuelTypes[[#Totals],[antalPerioden]]) * 100),0)</f>
        <v>19.989337124577926</v>
      </c>
      <c r="E9" s="58">
        <f>((C9/getAggPBFuelTypes[[#Totals],[antalPeriodenFG]]) * 100)</f>
        <v>21.094883889695211</v>
      </c>
      <c r="F9" s="61">
        <v>45996</v>
      </c>
      <c r="G9" s="61">
        <v>50503</v>
      </c>
      <c r="H9" s="58">
        <f>((F9/getAggPBFuelTypes[[#Totals],[antalAret]]) * 100)</f>
        <v>21.906090899132728</v>
      </c>
      <c r="I9" s="58">
        <f>((G9/getAggPBFuelTypes[[#Totals],[antalAretFG]]) * 100)</f>
        <v>24.678948397185302</v>
      </c>
      <c r="J9" s="42">
        <f t="shared" si="0"/>
        <v>-8.9242223234263313E-2</v>
      </c>
    </row>
    <row r="10" spans="1:15">
      <c r="A10" s="41" t="s">
        <v>19</v>
      </c>
      <c r="B10" s="61">
        <v>5337</v>
      </c>
      <c r="C10" s="61">
        <v>4370</v>
      </c>
      <c r="D10" s="58">
        <f>IF(getAggPBFuelTypes[[#This Row],[antalPerioden]]&gt;0,((B10/getAggPBFuelTypes[[#Totals],[antalPerioden]]) * 100),0)</f>
        <v>18.969255375866361</v>
      </c>
      <c r="E10" s="58">
        <f>((C10/getAggPBFuelTypes[[#Totals],[antalPeriodenFG]]) * 100)</f>
        <v>19.820391872278663</v>
      </c>
      <c r="F10" s="61">
        <v>42904</v>
      </c>
      <c r="G10" s="61">
        <v>47346</v>
      </c>
      <c r="H10" s="58">
        <f>((F10/getAggPBFuelTypes[[#Totals],[antalAret]]) * 100)</f>
        <v>20.433492563187901</v>
      </c>
      <c r="I10" s="58">
        <f>((G10/getAggPBFuelTypes[[#Totals],[antalAretFG]]) * 100)</f>
        <v>23.136239249413602</v>
      </c>
      <c r="J10" s="42">
        <f t="shared" si="0"/>
        <v>-9.3819963671693485E-2</v>
      </c>
    </row>
    <row r="11" spans="1:15">
      <c r="A11" s="41" t="s">
        <v>17</v>
      </c>
      <c r="B11" s="61">
        <v>2155</v>
      </c>
      <c r="C11" s="61">
        <v>2382</v>
      </c>
      <c r="D11" s="58">
        <f>IF(getAggPBFuelTypes[[#This Row],[antalPerioden]]&gt;0,((B11/getAggPBFuelTypes[[#Totals],[antalPerioden]]) * 100),0)</f>
        <v>7.6594988448551629</v>
      </c>
      <c r="E11" s="58">
        <f>((C11/getAggPBFuelTypes[[#Totals],[antalPeriodenFG]]) * 100)</f>
        <v>10.803701015965167</v>
      </c>
      <c r="F11" s="61">
        <v>18129</v>
      </c>
      <c r="G11" s="61">
        <v>26272</v>
      </c>
      <c r="H11" s="58">
        <f>((F11/getAggPBFuelTypes[[#Totals],[antalAret]]) * 100)</f>
        <v>8.6341317051564754</v>
      </c>
      <c r="I11" s="58">
        <f>((G11/getAggPBFuelTypes[[#Totals],[antalAretFG]]) * 100)</f>
        <v>12.838154808444097</v>
      </c>
      <c r="J11" s="42">
        <f t="shared" si="0"/>
        <v>-0.30994975639464067</v>
      </c>
    </row>
    <row r="12" spans="1:15">
      <c r="A12" s="41" t="s">
        <v>18</v>
      </c>
      <c r="B12" s="61">
        <v>1924</v>
      </c>
      <c r="C12" s="61">
        <v>2158</v>
      </c>
      <c r="D12" s="58">
        <f>IF(getAggPBFuelTypes[[#This Row],[antalPerioden]]&gt;0,((B12/getAggPBFuelTypes[[#Totals],[antalPerioden]]) * 100),0)</f>
        <v>6.8384574373556068</v>
      </c>
      <c r="E12" s="58">
        <f>((C12/getAggPBFuelTypes[[#Totals],[antalPeriodenFG]]) * 100)</f>
        <v>9.7877358490566042</v>
      </c>
      <c r="F12" s="61">
        <v>16788</v>
      </c>
      <c r="G12" s="61">
        <v>19128</v>
      </c>
      <c r="H12" s="58">
        <f>((F12/getAggPBFuelTypes[[#Totals],[antalAret]]) * 100)</f>
        <v>7.9954659973615154</v>
      </c>
      <c r="I12" s="58">
        <f>((G12/getAggPBFuelTypes[[#Totals],[antalAretFG]]) * 100)</f>
        <v>9.3471462079749816</v>
      </c>
      <c r="J12" s="42">
        <f t="shared" si="0"/>
        <v>-0.12233375156838143</v>
      </c>
    </row>
    <row r="13" spans="1:15">
      <c r="A13" s="41" t="s">
        <v>22</v>
      </c>
      <c r="B13" s="61">
        <v>359</v>
      </c>
      <c r="C13" s="61">
        <v>426</v>
      </c>
      <c r="D13" s="58">
        <f>IF(getAggPBFuelTypes[[#This Row],[antalPerioden]]&gt;0,((B13/getAggPBFuelTypes[[#Totals],[antalPerioden]]) * 100),0)</f>
        <v>1.2759907588413009</v>
      </c>
      <c r="E13" s="58">
        <f>((C13/getAggPBFuelTypes[[#Totals],[antalPeriodenFG]]) * 100)</f>
        <v>1.9321480406386065</v>
      </c>
      <c r="F13" s="61">
        <v>3414</v>
      </c>
      <c r="G13" s="61">
        <v>2071</v>
      </c>
      <c r="H13" s="58">
        <f>((F13/getAggPBFuelTypes[[#Totals],[antalAret]]) * 100)</f>
        <v>1.6259543075406371</v>
      </c>
      <c r="I13" s="58">
        <f>((G13/getAggPBFuelTypes[[#Totals],[antalAretFG]]) * 100)</f>
        <v>1.0120211102423768</v>
      </c>
      <c r="J13" s="42">
        <f t="shared" si="0"/>
        <v>0.64847899565427325</v>
      </c>
    </row>
    <row r="14" spans="1:15">
      <c r="A14" s="70" t="s">
        <v>21</v>
      </c>
      <c r="B14" s="71">
        <v>224</v>
      </c>
      <c r="C14" s="72">
        <v>284</v>
      </c>
      <c r="D14" s="58">
        <f>IF(getAggPBFuelTypes[[#This Row],[antalPerioden]]&gt;0,((B14/getAggPBFuelTypes[[#Totals],[antalPerioden]]) * 100),0)</f>
        <v>0.79616136484805389</v>
      </c>
      <c r="E14" s="58">
        <f>((C14/getAggPBFuelTypes[[#Totals],[antalPeriodenFG]]) * 100)</f>
        <v>1.288098693759071</v>
      </c>
      <c r="F14" s="61">
        <v>1484</v>
      </c>
      <c r="G14" s="61">
        <v>1294</v>
      </c>
      <c r="H14" s="58">
        <f>((F14/getAggPBFuelTypes[[#Totals],[antalAret]]) * 100)</f>
        <v>0.70677099952850186</v>
      </c>
      <c r="I14" s="58">
        <f>((G14/getAggPBFuelTypes[[#Totals],[antalAretFG]]) * 100)</f>
        <v>0.63232994526974196</v>
      </c>
      <c r="J14" s="42">
        <f t="shared" si="0"/>
        <v>0.14683153013910355</v>
      </c>
    </row>
    <row r="15" spans="1:15">
      <c r="A15" s="154" t="s">
        <v>1186</v>
      </c>
      <c r="B15" s="146">
        <v>12</v>
      </c>
      <c r="C15" s="146">
        <v>0</v>
      </c>
      <c r="D15" s="147">
        <f>IF(getAggPBFuelTypes[[#This Row],[antalPerioden]]&gt;0,((B15/getAggPBFuelTypes[[#Totals],[antalPerioden]]) * 100),0)</f>
        <v>4.2651501688288608E-2</v>
      </c>
      <c r="E15" s="147">
        <f>((C15/getAggPBFuelTypes[[#Totals],[antalPeriodenFG]]) * 100)</f>
        <v>0</v>
      </c>
      <c r="F15" s="146">
        <v>42</v>
      </c>
      <c r="G15" s="146">
        <v>4</v>
      </c>
      <c r="H15" s="147">
        <f>((F15/getAggPBFuelTypes[[#Totals],[antalAret]]) * 100)</f>
        <v>2.0002952816844392E-2</v>
      </c>
      <c r="I15" s="147">
        <f>((G15/getAggPBFuelTypes[[#Totals],[antalAretFG]]) * 100)</f>
        <v>1.9546520719311961E-3</v>
      </c>
      <c r="J15" s="224">
        <f t="shared" si="0"/>
        <v>9.5</v>
      </c>
      <c r="M15" s="8"/>
    </row>
    <row r="16" spans="1:15">
      <c r="A16" s="139" t="s">
        <v>454</v>
      </c>
      <c r="B16" s="140">
        <f>SUBTOTAL(109,getAggPBFuelTypes[antalPerioden])</f>
        <v>28135</v>
      </c>
      <c r="C16" s="140">
        <f>SUBTOTAL(109,getAggPBFuelTypes[antalPeriodenFG])</f>
        <v>22048</v>
      </c>
      <c r="D16" s="141">
        <f>SUBTOTAL(109,getAggPBFuelTypes[Column1])</f>
        <v>100</v>
      </c>
      <c r="E16" s="141">
        <f>SUBTOTAL(109,getAggPBFuelTypes[Column1])</f>
        <v>100</v>
      </c>
      <c r="F16" s="140">
        <f>SUBTOTAL(109,getAggPBFuelTypes[antalAret])</f>
        <v>209969</v>
      </c>
      <c r="G16" s="140">
        <f>SUBTOTAL(109,getAggPBFuelTypes[antalAretFG])</f>
        <v>204640</v>
      </c>
      <c r="H16" s="141">
        <f>SUBTOTAL(109,getAggPBFuelTypes[Column1])</f>
        <v>100</v>
      </c>
      <c r="I16" s="141">
        <f>SUBTOTAL(109,getAggPBFuelTypes[Column1])</f>
        <v>100</v>
      </c>
      <c r="J16" s="221"/>
      <c r="K16" s="211"/>
      <c r="L16" s="217"/>
    </row>
    <row r="17" spans="1:16">
      <c r="A17" s="25"/>
      <c r="B17" s="25"/>
      <c r="C17" s="25"/>
      <c r="D17" s="58"/>
      <c r="E17" s="58"/>
      <c r="F17" s="25"/>
      <c r="G17" s="25"/>
      <c r="H17" s="58"/>
      <c r="I17" s="58"/>
    </row>
    <row r="18" spans="1:16">
      <c r="A18" s="55" t="s">
        <v>680</v>
      </c>
      <c r="B18" s="25"/>
      <c r="C18" s="25"/>
      <c r="D18" s="25"/>
      <c r="E18" s="25"/>
      <c r="F18" s="25"/>
      <c r="G18" s="25"/>
      <c r="H18" s="60"/>
      <c r="I18" s="25"/>
    </row>
    <row r="19" spans="1:16">
      <c r="A19" s="7" t="s">
        <v>681</v>
      </c>
      <c r="B19" s="25"/>
      <c r="C19" s="25"/>
      <c r="D19" s="25"/>
      <c r="E19" s="25"/>
      <c r="F19" s="25"/>
      <c r="G19" s="25"/>
      <c r="H19" s="60"/>
      <c r="I19" s="25"/>
    </row>
    <row r="20" spans="1:16">
      <c r="A20" s="55" t="s">
        <v>682</v>
      </c>
      <c r="B20" s="25"/>
      <c r="C20" s="25"/>
      <c r="D20" s="25"/>
      <c r="E20" s="25"/>
      <c r="F20" s="25"/>
      <c r="G20" s="25"/>
      <c r="H20" s="60"/>
      <c r="I20" s="25"/>
    </row>
    <row r="21" spans="1:16">
      <c r="A21" s="55" t="s">
        <v>683</v>
      </c>
      <c r="B21" s="25"/>
      <c r="C21" s="25"/>
      <c r="D21" s="25"/>
      <c r="E21" s="25"/>
      <c r="F21" s="25"/>
      <c r="G21" s="25"/>
      <c r="H21" s="60"/>
      <c r="I21" s="25"/>
    </row>
    <row r="22" spans="1:16">
      <c r="A22" s="55" t="s">
        <v>684</v>
      </c>
      <c r="B22" s="25"/>
      <c r="C22" s="25"/>
      <c r="D22" s="25"/>
      <c r="E22" s="25"/>
      <c r="F22" s="25"/>
      <c r="G22" s="25"/>
      <c r="H22" s="60"/>
      <c r="I22" s="25"/>
    </row>
    <row r="23" spans="1:16">
      <c r="A23" s="55" t="s">
        <v>440</v>
      </c>
      <c r="B23" s="25"/>
      <c r="C23" s="25"/>
      <c r="D23" s="25"/>
      <c r="E23" s="25"/>
      <c r="F23" s="25"/>
      <c r="G23" s="25"/>
      <c r="H23" s="60"/>
      <c r="I23" s="25"/>
    </row>
    <row r="28" spans="1:16" ht="20" thickBot="1">
      <c r="L28" s="66" t="s">
        <v>223</v>
      </c>
      <c r="M28" s="66"/>
      <c r="N28" s="66"/>
      <c r="O28" s="66"/>
      <c r="P28" s="113"/>
    </row>
    <row r="29" spans="1:16">
      <c r="L29" s="25"/>
      <c r="M29" s="25"/>
      <c r="N29" s="25"/>
      <c r="O29" s="25"/>
      <c r="P29" s="25"/>
    </row>
    <row r="30" spans="1:16" ht="16" thickBot="1">
      <c r="L30" s="73" t="str">
        <f>Innehåll!D85</f>
        <v>Jan - sep 2023</v>
      </c>
      <c r="M30" s="74" t="s">
        <v>538</v>
      </c>
      <c r="N30" s="25"/>
      <c r="O30" s="25"/>
      <c r="P30" s="25"/>
    </row>
    <row r="31" spans="1:16">
      <c r="L31" s="25"/>
      <c r="M31" s="25"/>
      <c r="N31" s="25"/>
      <c r="O31" s="25"/>
      <c r="P31" s="25"/>
    </row>
    <row r="32" spans="1:16">
      <c r="L32" s="58" t="str">
        <f>A8</f>
        <v>El</v>
      </c>
      <c r="M32" s="58">
        <f t="shared" ref="M32:M38" si="1">INDEX($H$8:$H$16,MATCH(L32,$A$8:$A$16,0))</f>
        <v>38.678090575275398</v>
      </c>
      <c r="N32" s="25"/>
      <c r="P32" s="25"/>
    </row>
    <row r="33" spans="12:16">
      <c r="L33" s="58" t="str">
        <f t="shared" ref="L33:L38" si="2">A9</f>
        <v>Bensin</v>
      </c>
      <c r="M33" s="58">
        <f t="shared" si="1"/>
        <v>21.906090899132728</v>
      </c>
      <c r="N33" s="25"/>
      <c r="P33" s="25"/>
    </row>
    <row r="34" spans="12:16">
      <c r="L34" s="58" t="str">
        <f t="shared" si="2"/>
        <v>Laddhybrid</v>
      </c>
      <c r="M34" s="58">
        <f t="shared" si="1"/>
        <v>20.433492563187901</v>
      </c>
      <c r="N34" s="25"/>
      <c r="P34" s="25"/>
    </row>
    <row r="35" spans="12:16">
      <c r="L35" s="58" t="str">
        <f t="shared" si="2"/>
        <v>Diesel</v>
      </c>
      <c r="M35" s="58">
        <f t="shared" si="1"/>
        <v>8.6341317051564754</v>
      </c>
      <c r="N35" s="25"/>
      <c r="P35" s="25"/>
    </row>
    <row r="36" spans="12:16">
      <c r="L36" s="58" t="str">
        <f t="shared" si="2"/>
        <v>Elhybrid</v>
      </c>
      <c r="M36" s="58">
        <f t="shared" si="1"/>
        <v>7.9954659973615154</v>
      </c>
      <c r="N36" s="25"/>
      <c r="P36" s="25"/>
    </row>
    <row r="37" spans="12:16">
      <c r="L37" s="58" t="str">
        <f t="shared" si="2"/>
        <v>Etanol</v>
      </c>
      <c r="M37" s="58">
        <f t="shared" si="1"/>
        <v>1.6259543075406371</v>
      </c>
      <c r="N37" s="25"/>
      <c r="P37" s="25"/>
    </row>
    <row r="38" spans="12:16">
      <c r="L38" s="58" t="str">
        <f t="shared" si="2"/>
        <v>Gas</v>
      </c>
      <c r="M38" s="58">
        <f t="shared" si="1"/>
        <v>0.70677099952850186</v>
      </c>
      <c r="N38" s="25"/>
      <c r="P38" s="25"/>
    </row>
    <row r="39" spans="12:16">
      <c r="L39" s="25"/>
      <c r="M39" s="58"/>
      <c r="N39" s="25"/>
      <c r="O39" s="25"/>
      <c r="P39" s="25"/>
    </row>
    <row r="40" spans="12:16">
      <c r="M40" s="8"/>
    </row>
    <row r="43" spans="12:16" ht="15" hidden="1" customHeight="1"/>
    <row r="60" spans="1:1">
      <c r="A60" s="25" t="s">
        <v>678</v>
      </c>
    </row>
  </sheetData>
  <mergeCells count="5">
    <mergeCell ref="B5:C5"/>
    <mergeCell ref="F5:G5"/>
    <mergeCell ref="H5:I5"/>
    <mergeCell ref="D5:E5"/>
    <mergeCell ref="F4:I4"/>
  </mergeCells>
  <dataValidations count="4">
    <dataValidation allowBlank="1" showInputMessage="1" showErrorMessage="1" prompt="förändring i marknads-andelen ackumulerat från årets början t.o.m den aktuella månaden." sqref="H6" xr:uid="{00000000-0002-0000-0500-000000000000}"/>
    <dataValidation allowBlank="1" showInputMessage="1" showErrorMessage="1" prompt="visar antalet registreringar för den aktuella månaden i år." sqref="B6:D6 F6:G6" xr:uid="{00000000-0002-0000-0500-000001000000}"/>
    <dataValidation allowBlank="1" showInputMessage="1" showErrorMessage="1" prompt="visar antalet registreringar för den aktuella månaden föregående år." sqref="E6" xr:uid="{00000000-0002-0000-0500-000002000000}"/>
    <dataValidation allowBlank="1" showInputMessage="1" showErrorMessage="1" prompt="antalet registreringar ackumulerat från föregående års början t.o.m den aktuella månaden i föregående år." sqref="I6" xr:uid="{00000000-0002-0000-0500-000003000000}"/>
  </dataValidations>
  <hyperlinks>
    <hyperlink ref="M32" r:id="rId1" display="https://exceljet.net/functions/match-function" xr:uid="{00000000-0004-0000-0500-000000000000}"/>
    <hyperlink ref="M33:M38" r:id="rId2" display="https://exceljet.net/functions/match-function" xr:uid="{00000000-0004-0000-0500-000001000000}"/>
  </hyperlinks>
  <pageMargins left="0.70866141732283472" right="0.70866141732283472" top="0.74803149606299213" bottom="0.74803149606299213" header="0.31496062992125984" footer="0.31496062992125984"/>
  <pageSetup paperSize="9" orientation="landscape" r:id="rId3"/>
  <rowBreaks count="1" manualBreakCount="1">
    <brk id="24" max="16383" man="1"/>
  </rowBreaks>
  <drawing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2:U273"/>
  <sheetViews>
    <sheetView showZeros="0" workbookViewId="0">
      <selection activeCell="P26" sqref="P26"/>
    </sheetView>
  </sheetViews>
  <sheetFormatPr baseColWidth="10" defaultColWidth="8.83203125" defaultRowHeight="15"/>
  <cols>
    <col min="1" max="1" width="5" customWidth="1"/>
    <col min="2" max="2" width="27.33203125" customWidth="1"/>
    <col min="3" max="3" width="10.33203125" customWidth="1"/>
    <col min="4" max="13" width="8.6640625" customWidth="1"/>
  </cols>
  <sheetData>
    <row r="2" spans="1:21" ht="19.25" customHeight="1" thickBot="1">
      <c r="A2" s="9"/>
      <c r="O2" s="66" t="s">
        <v>476</v>
      </c>
      <c r="P2" s="66"/>
      <c r="Q2" s="66"/>
      <c r="R2" s="66"/>
      <c r="S2" s="66"/>
      <c r="T2" s="66"/>
      <c r="U2" s="113"/>
    </row>
    <row r="3" spans="1:21" ht="15" customHeight="1">
      <c r="A3" s="9"/>
      <c r="O3" s="25" t="s">
        <v>475</v>
      </c>
      <c r="P3" s="25"/>
      <c r="Q3" s="25"/>
      <c r="R3" s="25"/>
      <c r="S3" s="25"/>
      <c r="T3" s="25"/>
      <c r="U3" s="25"/>
    </row>
    <row r="4" spans="1:21" ht="15" customHeight="1">
      <c r="A4" s="9"/>
      <c r="O4" s="6"/>
      <c r="P4" s="6"/>
      <c r="Q4" s="16"/>
      <c r="R4" s="16"/>
      <c r="S4" s="16"/>
      <c r="T4" s="16"/>
      <c r="U4" s="25"/>
    </row>
    <row r="5" spans="1:21" ht="15" customHeight="1" thickBot="1">
      <c r="A5" s="9"/>
      <c r="O5" s="19" t="s">
        <v>455</v>
      </c>
      <c r="P5" s="19">
        <v>2021</v>
      </c>
      <c r="Q5" s="19">
        <v>2022</v>
      </c>
      <c r="R5" s="19">
        <v>2023</v>
      </c>
      <c r="S5" s="25"/>
      <c r="T5" s="25"/>
      <c r="U5" s="25"/>
    </row>
    <row r="6" spans="1:21" ht="15" customHeight="1">
      <c r="A6" s="9"/>
      <c r="O6" s="16" t="s">
        <v>2</v>
      </c>
      <c r="P6" s="75">
        <v>33.5</v>
      </c>
      <c r="Q6" s="75">
        <v>52.9</v>
      </c>
      <c r="R6" s="75">
        <v>52.1</v>
      </c>
      <c r="S6" s="25"/>
      <c r="T6" s="25"/>
      <c r="U6" s="25"/>
    </row>
    <row r="7" spans="1:21" ht="15" customHeight="1">
      <c r="A7" s="9"/>
      <c r="O7" s="16" t="s">
        <v>3</v>
      </c>
      <c r="P7" s="75">
        <v>34.200000000000003</v>
      </c>
      <c r="Q7" s="75">
        <v>51.6</v>
      </c>
      <c r="R7" s="75">
        <v>54</v>
      </c>
      <c r="S7" s="25"/>
      <c r="T7" s="25"/>
      <c r="U7" s="25"/>
    </row>
    <row r="8" spans="1:21" ht="15" customHeight="1">
      <c r="A8" s="9"/>
      <c r="O8" s="16" t="s">
        <v>4</v>
      </c>
      <c r="P8" s="75">
        <v>37</v>
      </c>
      <c r="Q8" s="75">
        <v>55.6</v>
      </c>
      <c r="R8" s="75">
        <v>59.9</v>
      </c>
      <c r="S8" s="25"/>
      <c r="T8" s="25"/>
      <c r="U8" s="25"/>
    </row>
    <row r="9" spans="1:21" ht="15" customHeight="1">
      <c r="A9" s="9"/>
      <c r="O9" s="16" t="s">
        <v>5</v>
      </c>
      <c r="P9" s="75">
        <v>43.2</v>
      </c>
      <c r="Q9" s="75">
        <v>48.2</v>
      </c>
      <c r="R9" s="75">
        <v>55.8</v>
      </c>
      <c r="S9" s="25"/>
      <c r="T9" s="25"/>
      <c r="U9" s="25"/>
    </row>
    <row r="10" spans="1:21" ht="15" customHeight="1">
      <c r="A10" s="9"/>
      <c r="O10" s="16" t="s">
        <v>6</v>
      </c>
      <c r="P10" s="75">
        <v>39</v>
      </c>
      <c r="Q10" s="75">
        <v>47.4</v>
      </c>
      <c r="R10" s="75">
        <v>61.9</v>
      </c>
      <c r="S10" s="25"/>
      <c r="T10" s="25"/>
      <c r="U10" s="25"/>
    </row>
    <row r="11" spans="1:21" ht="15" customHeight="1">
      <c r="A11" s="9"/>
      <c r="O11" s="16" t="s">
        <v>7</v>
      </c>
      <c r="P11" s="75">
        <v>49.4</v>
      </c>
      <c r="Q11" s="75">
        <v>55</v>
      </c>
      <c r="R11" s="75">
        <v>59.2</v>
      </c>
      <c r="S11" s="25"/>
      <c r="T11" s="25"/>
      <c r="U11" s="25"/>
    </row>
    <row r="12" spans="1:21" ht="15" customHeight="1">
      <c r="A12" s="9"/>
      <c r="O12" s="16" t="s">
        <v>8</v>
      </c>
      <c r="P12" s="75">
        <v>37.6</v>
      </c>
      <c r="Q12" s="75">
        <v>49.9</v>
      </c>
      <c r="R12" s="75">
        <v>59.9</v>
      </c>
      <c r="S12" s="25"/>
      <c r="T12" s="25"/>
      <c r="U12" s="25"/>
    </row>
    <row r="13" spans="1:21" ht="15" customHeight="1">
      <c r="A13" s="9"/>
      <c r="O13" s="16" t="s">
        <v>9</v>
      </c>
      <c r="P13" s="75">
        <v>47.1</v>
      </c>
      <c r="Q13" s="75">
        <v>45.9</v>
      </c>
      <c r="R13" s="75">
        <v>60.1</v>
      </c>
      <c r="S13" s="25"/>
      <c r="T13" s="25"/>
      <c r="U13" s="25"/>
    </row>
    <row r="14" spans="1:21" ht="15" customHeight="1">
      <c r="A14" s="9"/>
      <c r="O14" s="16" t="s">
        <v>10</v>
      </c>
      <c r="P14" s="75">
        <v>53.9</v>
      </c>
      <c r="Q14" s="75">
        <v>55.1</v>
      </c>
      <c r="R14" s="75">
        <v>63.4</v>
      </c>
      <c r="S14" s="25"/>
      <c r="T14" s="25"/>
      <c r="U14" s="25"/>
    </row>
    <row r="15" spans="1:21" ht="15" customHeight="1">
      <c r="A15" s="9"/>
      <c r="O15" s="16" t="s">
        <v>11</v>
      </c>
      <c r="P15" s="75">
        <v>50.9</v>
      </c>
      <c r="Q15" s="75">
        <v>59.4</v>
      </c>
      <c r="R15" s="75"/>
      <c r="S15" s="25"/>
      <c r="T15" s="25"/>
      <c r="U15" s="25"/>
    </row>
    <row r="16" spans="1:21" ht="15" customHeight="1">
      <c r="A16" s="9"/>
      <c r="O16" s="16" t="s">
        <v>12</v>
      </c>
      <c r="P16" s="75">
        <v>54.3</v>
      </c>
      <c r="Q16" s="75">
        <v>64.599999999999994</v>
      </c>
      <c r="R16" s="75"/>
      <c r="S16" s="25"/>
      <c r="T16" s="25"/>
      <c r="U16" s="25"/>
    </row>
    <row r="17" spans="1:21" ht="15" customHeight="1">
      <c r="A17" s="9"/>
      <c r="O17" s="26" t="s">
        <v>13</v>
      </c>
      <c r="P17" s="76">
        <v>60.7</v>
      </c>
      <c r="Q17" s="76">
        <v>74.599999999999994</v>
      </c>
      <c r="R17" s="76"/>
      <c r="S17" s="25"/>
      <c r="T17" s="25"/>
      <c r="U17" s="25"/>
    </row>
    <row r="18" spans="1:21" ht="15" customHeight="1">
      <c r="A18" s="9"/>
      <c r="O18" s="6" t="s">
        <v>534</v>
      </c>
      <c r="P18" s="23">
        <v>41.7</v>
      </c>
      <c r="Q18" s="23">
        <v>51.5</v>
      </c>
      <c r="R18" s="23">
        <f>IF(getAggModelsPB[[#Totals],[antalÅret]] &gt; 0,getAggRechargeModels[[#Totals],[antalÅret]]  / getAggModelsPB[[#Totals],[antalÅret]] * 100,0)</f>
        <v>59.116345746276835</v>
      </c>
      <c r="S18" s="25"/>
      <c r="T18" s="25"/>
      <c r="U18" s="25"/>
    </row>
    <row r="19" spans="1:21" ht="15" customHeight="1">
      <c r="A19" s="9"/>
      <c r="O19" s="6" t="s">
        <v>533</v>
      </c>
      <c r="P19" s="23">
        <v>45</v>
      </c>
      <c r="Q19" s="23">
        <v>56.1</v>
      </c>
      <c r="R19" s="25"/>
      <c r="S19" s="25"/>
      <c r="T19" s="25"/>
      <c r="U19" s="25"/>
    </row>
    <row r="20" spans="1:21" ht="15" customHeight="1">
      <c r="A20" s="9"/>
    </row>
    <row r="21" spans="1:21" ht="15" customHeight="1">
      <c r="A21" s="9"/>
    </row>
    <row r="22" spans="1:21" ht="15" customHeight="1">
      <c r="A22" s="9"/>
    </row>
    <row r="23" spans="1:21" ht="15" customHeight="1">
      <c r="A23" s="9"/>
    </row>
    <row r="24" spans="1:21" ht="15" customHeight="1">
      <c r="A24" s="9"/>
    </row>
    <row r="25" spans="1:21" ht="15" customHeight="1">
      <c r="A25" s="9"/>
    </row>
    <row r="26" spans="1:21" ht="15" customHeight="1">
      <c r="A26" s="9"/>
    </row>
    <row r="27" spans="1:21" ht="15" customHeight="1">
      <c r="A27" s="9"/>
    </row>
    <row r="28" spans="1:21" ht="15" customHeight="1">
      <c r="A28" s="9"/>
    </row>
    <row r="29" spans="1:21" ht="15" customHeight="1">
      <c r="A29" s="9"/>
    </row>
    <row r="30" spans="1:21" ht="15" customHeight="1">
      <c r="A30" s="9"/>
    </row>
    <row r="31" spans="1:21" ht="15" customHeight="1">
      <c r="A31" s="9"/>
    </row>
    <row r="32" spans="1:21" ht="15" customHeight="1">
      <c r="A32" s="9"/>
    </row>
    <row r="33" spans="1:14" ht="15" customHeight="1">
      <c r="A33" s="9"/>
    </row>
    <row r="34" spans="1:14" ht="15" customHeight="1">
      <c r="A34" s="9"/>
    </row>
    <row r="35" spans="1:14" ht="15" customHeight="1">
      <c r="A35" s="9"/>
    </row>
    <row r="36" spans="1:14" ht="19.25" customHeight="1" thickBot="1">
      <c r="A36" s="66" t="s">
        <v>461</v>
      </c>
      <c r="B36" s="66"/>
      <c r="C36" s="66"/>
    </row>
    <row r="37" spans="1:14" ht="15" customHeight="1">
      <c r="A37" s="9"/>
    </row>
    <row r="38" spans="1:14">
      <c r="A38" s="7" t="s">
        <v>451</v>
      </c>
      <c r="B38" s="55"/>
      <c r="C38" s="55"/>
      <c r="D38" s="55"/>
      <c r="E38" s="55"/>
      <c r="F38" s="55"/>
      <c r="G38" s="55"/>
      <c r="H38" s="258" t="s">
        <v>452</v>
      </c>
      <c r="I38" s="258"/>
      <c r="J38" s="258"/>
      <c r="K38" s="258"/>
      <c r="L38" s="258"/>
      <c r="M38" s="258"/>
      <c r="N38" s="55"/>
    </row>
    <row r="39" spans="1:14">
      <c r="A39" s="103"/>
      <c r="B39" s="114"/>
      <c r="C39" s="114"/>
      <c r="D39" s="259" t="s">
        <v>535</v>
      </c>
      <c r="E39" s="260"/>
      <c r="F39" s="261" t="s">
        <v>535</v>
      </c>
      <c r="G39" s="262"/>
      <c r="H39" s="261" t="s">
        <v>536</v>
      </c>
      <c r="I39" s="262"/>
      <c r="J39" s="261" t="s">
        <v>537</v>
      </c>
      <c r="K39" s="262"/>
      <c r="L39" s="261" t="s">
        <v>537</v>
      </c>
      <c r="M39" s="262"/>
      <c r="N39" s="55"/>
    </row>
    <row r="40" spans="1:14">
      <c r="A40" s="103"/>
      <c r="B40" s="115" t="s">
        <v>453</v>
      </c>
      <c r="C40" s="116" t="s">
        <v>539</v>
      </c>
      <c r="D40" s="117" t="str">
        <f>Innehåll!D79</f>
        <v xml:space="preserve"> 2023-09</v>
      </c>
      <c r="E40" s="117" t="str">
        <f>Innehåll!D80</f>
        <v xml:space="preserve"> 2022-09</v>
      </c>
      <c r="F40" s="117" t="str">
        <f>Innehåll!D81</f>
        <v>YTD  2023</v>
      </c>
      <c r="G40" s="117" t="str">
        <f>Innehåll!D82</f>
        <v>YTD  2022</v>
      </c>
      <c r="H40" s="117" t="str">
        <f>D40</f>
        <v xml:space="preserve"> 2023-09</v>
      </c>
      <c r="I40" s="118" t="str">
        <f>F40</f>
        <v>YTD  2023</v>
      </c>
      <c r="J40" s="117" t="str">
        <f>D40</f>
        <v xml:space="preserve"> 2023-09</v>
      </c>
      <c r="K40" s="119" t="str">
        <f>F40</f>
        <v>YTD  2023</v>
      </c>
      <c r="L40" s="120" t="str">
        <f>E40</f>
        <v xml:space="preserve"> 2022-09</v>
      </c>
      <c r="M40" s="120" t="str">
        <f>G40</f>
        <v>YTD  2022</v>
      </c>
      <c r="N40" s="55"/>
    </row>
    <row r="41" spans="1:14" ht="15" hidden="1" customHeight="1">
      <c r="A41" s="55" t="s">
        <v>24</v>
      </c>
      <c r="B41" s="55" t="s">
        <v>225</v>
      </c>
      <c r="C41" s="55" t="s">
        <v>226</v>
      </c>
      <c r="D41" s="55" t="s">
        <v>26</v>
      </c>
      <c r="E41" s="55" t="s">
        <v>27</v>
      </c>
      <c r="F41" s="55" t="s">
        <v>28</v>
      </c>
      <c r="G41" s="55" t="s">
        <v>29</v>
      </c>
      <c r="H41" s="55" t="s">
        <v>30</v>
      </c>
      <c r="I41" s="55" t="s">
        <v>31</v>
      </c>
      <c r="J41" s="55" t="s">
        <v>32</v>
      </c>
      <c r="K41" s="55" t="s">
        <v>33</v>
      </c>
      <c r="L41" s="55" t="s">
        <v>34</v>
      </c>
      <c r="M41" s="55" t="s">
        <v>35</v>
      </c>
      <c r="N41" s="55"/>
    </row>
    <row r="42" spans="1:14">
      <c r="A42" s="55">
        <v>1</v>
      </c>
      <c r="B42" s="55" t="s">
        <v>600</v>
      </c>
      <c r="C42" s="55" t="s">
        <v>20</v>
      </c>
      <c r="D42" s="22">
        <v>3050</v>
      </c>
      <c r="E42" s="22">
        <v>431</v>
      </c>
      <c r="F42" s="22">
        <v>13457</v>
      </c>
      <c r="G42" s="22">
        <v>4891</v>
      </c>
      <c r="H42" s="55">
        <v>607.66</v>
      </c>
      <c r="I42" s="55">
        <v>175.14</v>
      </c>
      <c r="J42" s="55">
        <v>17.100000000000001</v>
      </c>
      <c r="K42" s="55">
        <v>10.84</v>
      </c>
      <c r="L42" s="55">
        <v>3.55</v>
      </c>
      <c r="M42" s="55">
        <v>4.6399999999999997</v>
      </c>
      <c r="N42" s="55"/>
    </row>
    <row r="43" spans="1:14">
      <c r="A43" s="55">
        <v>2</v>
      </c>
      <c r="B43" s="55" t="s">
        <v>478</v>
      </c>
      <c r="C43" s="55" t="s">
        <v>20</v>
      </c>
      <c r="D43" s="22">
        <v>1229</v>
      </c>
      <c r="E43" s="22">
        <v>595</v>
      </c>
      <c r="F43" s="22">
        <v>7755</v>
      </c>
      <c r="G43" s="22">
        <v>5624</v>
      </c>
      <c r="H43" s="55">
        <v>106.55</v>
      </c>
      <c r="I43" s="55">
        <v>37.89</v>
      </c>
      <c r="J43" s="55">
        <v>6.89</v>
      </c>
      <c r="K43" s="55">
        <v>6.25</v>
      </c>
      <c r="L43" s="55">
        <v>4.9000000000000004</v>
      </c>
      <c r="M43" s="55">
        <v>5.34</v>
      </c>
      <c r="N43" s="55"/>
    </row>
    <row r="44" spans="1:14">
      <c r="A44" s="55">
        <v>3</v>
      </c>
      <c r="B44" s="55" t="s">
        <v>422</v>
      </c>
      <c r="C44" s="55" t="s">
        <v>20</v>
      </c>
      <c r="D44" s="22">
        <v>896</v>
      </c>
      <c r="E44" s="22">
        <v>566</v>
      </c>
      <c r="F44" s="22">
        <v>6456</v>
      </c>
      <c r="G44" s="22">
        <v>2872</v>
      </c>
      <c r="H44" s="55">
        <v>58.3</v>
      </c>
      <c r="I44" s="55">
        <v>124.79</v>
      </c>
      <c r="J44" s="55">
        <v>5.0199999999999996</v>
      </c>
      <c r="K44" s="55">
        <v>5.2</v>
      </c>
      <c r="L44" s="55">
        <v>4.66</v>
      </c>
      <c r="M44" s="55">
        <v>2.73</v>
      </c>
      <c r="N44" s="55"/>
    </row>
    <row r="45" spans="1:14">
      <c r="A45" s="55">
        <v>4</v>
      </c>
      <c r="B45" s="55" t="s">
        <v>392</v>
      </c>
      <c r="C45" s="55" t="s">
        <v>19</v>
      </c>
      <c r="D45" s="22">
        <v>609</v>
      </c>
      <c r="E45" s="22">
        <v>358</v>
      </c>
      <c r="F45" s="22">
        <v>6221</v>
      </c>
      <c r="G45" s="22">
        <v>4104</v>
      </c>
      <c r="H45" s="55">
        <v>70.11</v>
      </c>
      <c r="I45" s="55">
        <v>51.58</v>
      </c>
      <c r="J45" s="55">
        <v>3.41</v>
      </c>
      <c r="K45" s="55">
        <v>5.01</v>
      </c>
      <c r="L45" s="55">
        <v>2.95</v>
      </c>
      <c r="M45" s="55">
        <v>3.89</v>
      </c>
      <c r="N45" s="55"/>
    </row>
    <row r="46" spans="1:14">
      <c r="A46" s="55">
        <v>5</v>
      </c>
      <c r="B46" s="55" t="s">
        <v>628</v>
      </c>
      <c r="C46" s="55" t="s">
        <v>20</v>
      </c>
      <c r="D46" s="22">
        <v>291</v>
      </c>
      <c r="E46" s="22">
        <v>295</v>
      </c>
      <c r="F46" s="22">
        <v>3549</v>
      </c>
      <c r="G46" s="22">
        <v>2713</v>
      </c>
      <c r="H46" s="55">
        <v>-1.36</v>
      </c>
      <c r="I46" s="55">
        <v>30.81</v>
      </c>
      <c r="J46" s="55">
        <v>1.63</v>
      </c>
      <c r="K46" s="55">
        <v>2.86</v>
      </c>
      <c r="L46" s="55">
        <v>2.4300000000000002</v>
      </c>
      <c r="M46" s="55">
        <v>2.57</v>
      </c>
      <c r="N46" s="55"/>
    </row>
    <row r="47" spans="1:14">
      <c r="A47" s="55">
        <v>6</v>
      </c>
      <c r="B47" s="55" t="s">
        <v>567</v>
      </c>
      <c r="C47" s="55" t="s">
        <v>20</v>
      </c>
      <c r="D47" s="22">
        <v>632</v>
      </c>
      <c r="E47" s="22">
        <v>491</v>
      </c>
      <c r="F47" s="22">
        <v>3442</v>
      </c>
      <c r="G47" s="22">
        <v>2886</v>
      </c>
      <c r="H47" s="55">
        <v>28.72</v>
      </c>
      <c r="I47" s="55">
        <v>19.27</v>
      </c>
      <c r="J47" s="55">
        <v>3.54</v>
      </c>
      <c r="K47" s="55">
        <v>2.77</v>
      </c>
      <c r="L47" s="55">
        <v>4.04</v>
      </c>
      <c r="M47" s="55">
        <v>2.74</v>
      </c>
      <c r="N47" s="55"/>
    </row>
    <row r="48" spans="1:14">
      <c r="A48" s="55">
        <v>7</v>
      </c>
      <c r="B48" s="55" t="s">
        <v>687</v>
      </c>
      <c r="C48" s="55" t="s">
        <v>19</v>
      </c>
      <c r="D48" s="22">
        <v>408</v>
      </c>
      <c r="E48" s="22">
        <v>388</v>
      </c>
      <c r="F48" s="22">
        <v>3049</v>
      </c>
      <c r="G48" s="22">
        <v>2506</v>
      </c>
      <c r="H48" s="55">
        <v>5.15</v>
      </c>
      <c r="I48" s="55">
        <v>21.67</v>
      </c>
      <c r="J48" s="55">
        <v>2.29</v>
      </c>
      <c r="K48" s="55">
        <v>2.46</v>
      </c>
      <c r="L48" s="55">
        <v>3.19</v>
      </c>
      <c r="M48" s="55">
        <v>2.38</v>
      </c>
      <c r="N48" s="55"/>
    </row>
    <row r="49" spans="1:14">
      <c r="A49" s="55">
        <v>8</v>
      </c>
      <c r="B49" s="55" t="s">
        <v>229</v>
      </c>
      <c r="C49" s="55" t="s">
        <v>20</v>
      </c>
      <c r="D49" s="22">
        <v>331</v>
      </c>
      <c r="E49" s="22">
        <v>555</v>
      </c>
      <c r="F49" s="22">
        <v>2746</v>
      </c>
      <c r="G49" s="22">
        <v>5114</v>
      </c>
      <c r="H49" s="55">
        <v>-40.36</v>
      </c>
      <c r="I49" s="55">
        <v>-46.3</v>
      </c>
      <c r="J49" s="55">
        <v>1.86</v>
      </c>
      <c r="K49" s="55">
        <v>2.21</v>
      </c>
      <c r="L49" s="55">
        <v>4.57</v>
      </c>
      <c r="M49" s="55">
        <v>4.8499999999999996</v>
      </c>
      <c r="N49" s="55"/>
    </row>
    <row r="50" spans="1:14">
      <c r="A50" s="55">
        <v>9</v>
      </c>
      <c r="B50" s="55" t="s">
        <v>372</v>
      </c>
      <c r="C50" s="55" t="s">
        <v>19</v>
      </c>
      <c r="D50" s="22">
        <v>355</v>
      </c>
      <c r="E50" s="22">
        <v>365</v>
      </c>
      <c r="F50" s="22">
        <v>2744</v>
      </c>
      <c r="G50" s="22">
        <v>4389</v>
      </c>
      <c r="H50" s="55">
        <v>-2.74</v>
      </c>
      <c r="I50" s="55">
        <v>-37.479999999999997</v>
      </c>
      <c r="J50" s="55">
        <v>1.99</v>
      </c>
      <c r="K50" s="55">
        <v>2.21</v>
      </c>
      <c r="L50" s="55">
        <v>3</v>
      </c>
      <c r="M50" s="55">
        <v>4.17</v>
      </c>
      <c r="N50" s="55"/>
    </row>
    <row r="51" spans="1:14">
      <c r="A51" s="55">
        <v>10</v>
      </c>
      <c r="B51" s="55" t="s">
        <v>403</v>
      </c>
      <c r="C51" s="55" t="s">
        <v>20</v>
      </c>
      <c r="D51" s="22">
        <v>304</v>
      </c>
      <c r="E51" s="22">
        <v>274</v>
      </c>
      <c r="F51" s="22">
        <v>2718</v>
      </c>
      <c r="G51" s="22">
        <v>2809</v>
      </c>
      <c r="H51" s="55">
        <v>10.95</v>
      </c>
      <c r="I51" s="55">
        <v>-3.24</v>
      </c>
      <c r="J51" s="55">
        <v>1.7</v>
      </c>
      <c r="K51" s="55">
        <v>2.19</v>
      </c>
      <c r="L51" s="55">
        <v>2.2599999999999998</v>
      </c>
      <c r="M51" s="55">
        <v>2.67</v>
      </c>
      <c r="N51" s="55"/>
    </row>
    <row r="52" spans="1:14">
      <c r="A52" s="55">
        <v>11</v>
      </c>
      <c r="B52" s="55" t="s">
        <v>592</v>
      </c>
      <c r="C52" s="55" t="s">
        <v>20</v>
      </c>
      <c r="D52" s="22">
        <v>339</v>
      </c>
      <c r="E52" s="22">
        <v>145</v>
      </c>
      <c r="F52" s="22">
        <v>2681</v>
      </c>
      <c r="G52" s="22">
        <v>1387</v>
      </c>
      <c r="H52" s="55">
        <v>133.79</v>
      </c>
      <c r="I52" s="55">
        <v>93.29</v>
      </c>
      <c r="J52" s="55">
        <v>1.9</v>
      </c>
      <c r="K52" s="55">
        <v>2.16</v>
      </c>
      <c r="L52" s="55">
        <v>1.19</v>
      </c>
      <c r="M52" s="55">
        <v>1.32</v>
      </c>
      <c r="N52" s="55"/>
    </row>
    <row r="53" spans="1:14">
      <c r="A53" s="55">
        <v>12</v>
      </c>
      <c r="B53" s="55" t="s">
        <v>636</v>
      </c>
      <c r="C53" s="55" t="s">
        <v>20</v>
      </c>
      <c r="D53" s="22">
        <v>221</v>
      </c>
      <c r="E53" s="22">
        <v>350</v>
      </c>
      <c r="F53" s="22">
        <v>2400</v>
      </c>
      <c r="G53" s="22">
        <v>738</v>
      </c>
      <c r="H53" s="55">
        <v>-36.86</v>
      </c>
      <c r="I53" s="55">
        <v>225.2</v>
      </c>
      <c r="J53" s="55">
        <v>1.24</v>
      </c>
      <c r="K53" s="55">
        <v>1.93</v>
      </c>
      <c r="L53" s="55">
        <v>2.88</v>
      </c>
      <c r="M53" s="55">
        <v>0.7</v>
      </c>
      <c r="N53" s="55"/>
    </row>
    <row r="54" spans="1:14">
      <c r="A54" s="55">
        <v>13</v>
      </c>
      <c r="B54" s="55" t="s">
        <v>1020</v>
      </c>
      <c r="C54" s="55" t="s">
        <v>20</v>
      </c>
      <c r="D54" s="22">
        <v>598</v>
      </c>
      <c r="E54" s="22">
        <v>0</v>
      </c>
      <c r="F54" s="22">
        <v>2317</v>
      </c>
      <c r="G54" s="22">
        <v>0</v>
      </c>
      <c r="H54" s="55">
        <v>0</v>
      </c>
      <c r="I54" s="55">
        <v>0</v>
      </c>
      <c r="J54" s="55">
        <v>3.35</v>
      </c>
      <c r="K54" s="55">
        <v>1.87</v>
      </c>
      <c r="L54" s="55">
        <v>0</v>
      </c>
      <c r="M54" s="55">
        <v>0</v>
      </c>
      <c r="N54" s="55"/>
    </row>
    <row r="55" spans="1:14">
      <c r="A55" s="55">
        <v>14</v>
      </c>
      <c r="B55" s="55" t="s">
        <v>55</v>
      </c>
      <c r="C55" s="55" t="s">
        <v>20</v>
      </c>
      <c r="D55" s="22">
        <v>51</v>
      </c>
      <c r="E55" s="22">
        <v>484</v>
      </c>
      <c r="F55" s="22">
        <v>2067</v>
      </c>
      <c r="G55" s="22">
        <v>2056</v>
      </c>
      <c r="H55" s="55">
        <v>-89.46</v>
      </c>
      <c r="I55" s="55">
        <v>0.54</v>
      </c>
      <c r="J55" s="55">
        <v>0.28999999999999998</v>
      </c>
      <c r="K55" s="55">
        <v>1.67</v>
      </c>
      <c r="L55" s="55">
        <v>3.98</v>
      </c>
      <c r="M55" s="55">
        <v>1.95</v>
      </c>
      <c r="N55" s="55"/>
    </row>
    <row r="56" spans="1:14">
      <c r="A56" s="55">
        <v>15</v>
      </c>
      <c r="B56" s="55" t="s">
        <v>416</v>
      </c>
      <c r="C56" s="55" t="s">
        <v>20</v>
      </c>
      <c r="D56" s="22">
        <v>213</v>
      </c>
      <c r="E56" s="22">
        <v>135</v>
      </c>
      <c r="F56" s="22">
        <v>1989</v>
      </c>
      <c r="G56" s="22">
        <v>1079</v>
      </c>
      <c r="H56" s="55">
        <v>57.78</v>
      </c>
      <c r="I56" s="55">
        <v>84.34</v>
      </c>
      <c r="J56" s="55">
        <v>1.19</v>
      </c>
      <c r="K56" s="55">
        <v>1.6</v>
      </c>
      <c r="L56" s="55">
        <v>1.1100000000000001</v>
      </c>
      <c r="M56" s="55">
        <v>1.02</v>
      </c>
      <c r="N56" s="55"/>
    </row>
    <row r="57" spans="1:14">
      <c r="A57" s="55">
        <v>16</v>
      </c>
      <c r="B57" s="55" t="s">
        <v>393</v>
      </c>
      <c r="C57" s="55" t="s">
        <v>19</v>
      </c>
      <c r="D57" s="22">
        <v>217</v>
      </c>
      <c r="E57" s="22">
        <v>202</v>
      </c>
      <c r="F57" s="22">
        <v>1934</v>
      </c>
      <c r="G57" s="22">
        <v>1418</v>
      </c>
      <c r="H57" s="55">
        <v>7.43</v>
      </c>
      <c r="I57" s="55">
        <v>36.39</v>
      </c>
      <c r="J57" s="55">
        <v>1.22</v>
      </c>
      <c r="K57" s="55">
        <v>1.56</v>
      </c>
      <c r="L57" s="55">
        <v>1.66</v>
      </c>
      <c r="M57" s="55">
        <v>1.35</v>
      </c>
      <c r="N57" s="55"/>
    </row>
    <row r="58" spans="1:14">
      <c r="A58" s="55">
        <v>17</v>
      </c>
      <c r="B58" s="55" t="s">
        <v>1004</v>
      </c>
      <c r="C58" s="55" t="s">
        <v>20</v>
      </c>
      <c r="D58" s="22">
        <v>451</v>
      </c>
      <c r="E58" s="22">
        <v>6</v>
      </c>
      <c r="F58" s="22">
        <v>1882</v>
      </c>
      <c r="G58" s="22">
        <v>6</v>
      </c>
      <c r="H58" s="55">
        <v>7416.67</v>
      </c>
      <c r="I58" s="55">
        <v>31266.67</v>
      </c>
      <c r="J58" s="55">
        <v>2.5299999999999998</v>
      </c>
      <c r="K58" s="55">
        <v>1.52</v>
      </c>
      <c r="L58" s="55">
        <v>0.05</v>
      </c>
      <c r="M58" s="55">
        <v>0.01</v>
      </c>
      <c r="N58" s="55"/>
    </row>
    <row r="59" spans="1:14">
      <c r="A59" s="55">
        <v>18</v>
      </c>
      <c r="B59" s="55" t="s">
        <v>688</v>
      </c>
      <c r="C59" s="55" t="s">
        <v>20</v>
      </c>
      <c r="D59" s="22">
        <v>146</v>
      </c>
      <c r="E59" s="22">
        <v>124</v>
      </c>
      <c r="F59" s="22">
        <v>1706</v>
      </c>
      <c r="G59" s="22">
        <v>488</v>
      </c>
      <c r="H59" s="55">
        <v>17.739999999999998</v>
      </c>
      <c r="I59" s="55">
        <v>249.59</v>
      </c>
      <c r="J59" s="55">
        <v>0.82</v>
      </c>
      <c r="K59" s="55">
        <v>1.37</v>
      </c>
      <c r="L59" s="55">
        <v>1.02</v>
      </c>
      <c r="M59" s="55">
        <v>0.46</v>
      </c>
      <c r="N59" s="55"/>
    </row>
    <row r="60" spans="1:14">
      <c r="A60" s="55">
        <v>19</v>
      </c>
      <c r="B60" s="55" t="s">
        <v>408</v>
      </c>
      <c r="C60" s="55" t="s">
        <v>19</v>
      </c>
      <c r="D60" s="22">
        <v>158</v>
      </c>
      <c r="E60" s="22">
        <v>180</v>
      </c>
      <c r="F60" s="22">
        <v>1656</v>
      </c>
      <c r="G60" s="22">
        <v>2540</v>
      </c>
      <c r="H60" s="55">
        <v>-12.22</v>
      </c>
      <c r="I60" s="55">
        <v>-34.799999999999997</v>
      </c>
      <c r="J60" s="55">
        <v>0.89</v>
      </c>
      <c r="K60" s="55">
        <v>1.33</v>
      </c>
      <c r="L60" s="55">
        <v>1.48</v>
      </c>
      <c r="M60" s="55">
        <v>2.41</v>
      </c>
      <c r="N60" s="55"/>
    </row>
    <row r="61" spans="1:14">
      <c r="A61" s="55">
        <v>20</v>
      </c>
      <c r="B61" s="55" t="s">
        <v>423</v>
      </c>
      <c r="C61" s="55" t="s">
        <v>19</v>
      </c>
      <c r="D61" s="22">
        <v>260</v>
      </c>
      <c r="E61" s="22">
        <v>85</v>
      </c>
      <c r="F61" s="22">
        <v>1633</v>
      </c>
      <c r="G61" s="22">
        <v>1312</v>
      </c>
      <c r="H61" s="55">
        <v>205.88</v>
      </c>
      <c r="I61" s="55">
        <v>24.47</v>
      </c>
      <c r="J61" s="55">
        <v>1.46</v>
      </c>
      <c r="K61" s="55">
        <v>1.32</v>
      </c>
      <c r="L61" s="55">
        <v>0.7</v>
      </c>
      <c r="M61" s="55">
        <v>1.25</v>
      </c>
      <c r="N61" s="55"/>
    </row>
    <row r="62" spans="1:14">
      <c r="A62" s="55">
        <v>21</v>
      </c>
      <c r="B62" s="55" t="s">
        <v>692</v>
      </c>
      <c r="C62" s="55" t="s">
        <v>20</v>
      </c>
      <c r="D62" s="22">
        <v>211</v>
      </c>
      <c r="E62" s="22">
        <v>147</v>
      </c>
      <c r="F62" s="22">
        <v>1587</v>
      </c>
      <c r="G62" s="22">
        <v>787</v>
      </c>
      <c r="H62" s="55">
        <v>43.54</v>
      </c>
      <c r="I62" s="55">
        <v>101.65</v>
      </c>
      <c r="J62" s="55">
        <v>1.18</v>
      </c>
      <c r="K62" s="55">
        <v>1.28</v>
      </c>
      <c r="L62" s="55">
        <v>1.21</v>
      </c>
      <c r="M62" s="55">
        <v>0.75</v>
      </c>
      <c r="N62" s="55"/>
    </row>
    <row r="63" spans="1:14">
      <c r="A63" s="55">
        <v>22</v>
      </c>
      <c r="B63" s="55" t="s">
        <v>694</v>
      </c>
      <c r="C63" s="55" t="s">
        <v>20</v>
      </c>
      <c r="D63" s="22">
        <v>208</v>
      </c>
      <c r="E63" s="22">
        <v>198</v>
      </c>
      <c r="F63" s="22">
        <v>1344</v>
      </c>
      <c r="G63" s="22">
        <v>667</v>
      </c>
      <c r="H63" s="55">
        <v>5.05</v>
      </c>
      <c r="I63" s="55">
        <v>101.5</v>
      </c>
      <c r="J63" s="55">
        <v>1.17</v>
      </c>
      <c r="K63" s="55">
        <v>1.08</v>
      </c>
      <c r="L63" s="55">
        <v>1.63</v>
      </c>
      <c r="M63" s="55">
        <v>0.63</v>
      </c>
      <c r="N63" s="55"/>
    </row>
    <row r="64" spans="1:14">
      <c r="A64" s="55">
        <v>23</v>
      </c>
      <c r="B64" s="55" t="s">
        <v>376</v>
      </c>
      <c r="C64" s="55" t="s">
        <v>19</v>
      </c>
      <c r="D64" s="22">
        <v>150</v>
      </c>
      <c r="E64" s="22">
        <v>132</v>
      </c>
      <c r="F64" s="22">
        <v>1330</v>
      </c>
      <c r="G64" s="22">
        <v>3001</v>
      </c>
      <c r="H64" s="55">
        <v>13.64</v>
      </c>
      <c r="I64" s="55">
        <v>-55.68</v>
      </c>
      <c r="J64" s="55">
        <v>0.84</v>
      </c>
      <c r="K64" s="55">
        <v>1.07</v>
      </c>
      <c r="L64" s="55">
        <v>1.0900000000000001</v>
      </c>
      <c r="M64" s="55">
        <v>2.85</v>
      </c>
      <c r="N64" s="55"/>
    </row>
    <row r="65" spans="1:14">
      <c r="A65" s="55">
        <v>24</v>
      </c>
      <c r="B65" s="55" t="s">
        <v>94</v>
      </c>
      <c r="C65" s="55" t="s">
        <v>20</v>
      </c>
      <c r="D65" s="22">
        <v>209</v>
      </c>
      <c r="E65" s="22">
        <v>285</v>
      </c>
      <c r="F65" s="22">
        <v>1328</v>
      </c>
      <c r="G65" s="22">
        <v>2474</v>
      </c>
      <c r="H65" s="55">
        <v>-26.67</v>
      </c>
      <c r="I65" s="55">
        <v>-46.32</v>
      </c>
      <c r="J65" s="55">
        <v>1.17</v>
      </c>
      <c r="K65" s="55">
        <v>1.07</v>
      </c>
      <c r="L65" s="55">
        <v>2.35</v>
      </c>
      <c r="M65" s="55">
        <v>2.35</v>
      </c>
      <c r="N65" s="55"/>
    </row>
    <row r="66" spans="1:14">
      <c r="A66" s="55">
        <v>25</v>
      </c>
      <c r="B66" s="55" t="s">
        <v>231</v>
      </c>
      <c r="C66" s="55" t="s">
        <v>19</v>
      </c>
      <c r="D66" s="22">
        <v>151</v>
      </c>
      <c r="E66" s="22">
        <v>80</v>
      </c>
      <c r="F66" s="22">
        <v>1302</v>
      </c>
      <c r="G66" s="22">
        <v>864</v>
      </c>
      <c r="H66" s="55">
        <v>88.75</v>
      </c>
      <c r="I66" s="55">
        <v>50.69</v>
      </c>
      <c r="J66" s="55">
        <v>0.85</v>
      </c>
      <c r="K66" s="55">
        <v>1.05</v>
      </c>
      <c r="L66" s="55">
        <v>0.66</v>
      </c>
      <c r="M66" s="55">
        <v>0.82</v>
      </c>
      <c r="N66" s="55"/>
    </row>
    <row r="67" spans="1:14">
      <c r="A67" s="55">
        <v>26</v>
      </c>
      <c r="B67" s="55" t="s">
        <v>572</v>
      </c>
      <c r="C67" s="55" t="s">
        <v>19</v>
      </c>
      <c r="D67" s="22">
        <v>54</v>
      </c>
      <c r="E67" s="22">
        <v>216</v>
      </c>
      <c r="F67" s="22">
        <v>1297</v>
      </c>
      <c r="G67" s="22">
        <v>1478</v>
      </c>
      <c r="H67" s="55">
        <v>-75</v>
      </c>
      <c r="I67" s="55">
        <v>-12.25</v>
      </c>
      <c r="J67" s="55">
        <v>0.3</v>
      </c>
      <c r="K67" s="55">
        <v>1.04</v>
      </c>
      <c r="L67" s="55">
        <v>1.78</v>
      </c>
      <c r="M67" s="55">
        <v>1.4</v>
      </c>
      <c r="N67" s="55"/>
    </row>
    <row r="68" spans="1:14">
      <c r="A68" s="55">
        <v>27</v>
      </c>
      <c r="B68" s="55" t="s">
        <v>136</v>
      </c>
      <c r="C68" s="55" t="s">
        <v>20</v>
      </c>
      <c r="D68" s="22">
        <v>170</v>
      </c>
      <c r="E68" s="22">
        <v>40</v>
      </c>
      <c r="F68" s="22">
        <v>1281</v>
      </c>
      <c r="G68" s="22">
        <v>1306</v>
      </c>
      <c r="H68" s="55">
        <v>325</v>
      </c>
      <c r="I68" s="55">
        <v>-1.91</v>
      </c>
      <c r="J68" s="55">
        <v>0.95</v>
      </c>
      <c r="K68" s="55">
        <v>1.03</v>
      </c>
      <c r="L68" s="55">
        <v>0.33</v>
      </c>
      <c r="M68" s="55">
        <v>1.24</v>
      </c>
      <c r="N68" s="55"/>
    </row>
    <row r="69" spans="1:14">
      <c r="A69" s="55">
        <v>28</v>
      </c>
      <c r="B69" s="55" t="s">
        <v>643</v>
      </c>
      <c r="C69" s="55" t="s">
        <v>19</v>
      </c>
      <c r="D69" s="22">
        <v>236</v>
      </c>
      <c r="E69" s="22">
        <v>100</v>
      </c>
      <c r="F69" s="22">
        <v>1185</v>
      </c>
      <c r="G69" s="22">
        <v>769</v>
      </c>
      <c r="H69" s="55">
        <v>136</v>
      </c>
      <c r="I69" s="55">
        <v>54.1</v>
      </c>
      <c r="J69" s="55">
        <v>1.32</v>
      </c>
      <c r="K69" s="55">
        <v>0.95</v>
      </c>
      <c r="L69" s="55">
        <v>0.82</v>
      </c>
      <c r="M69" s="55">
        <v>0.73</v>
      </c>
      <c r="N69" s="55"/>
    </row>
    <row r="70" spans="1:14">
      <c r="A70" s="55">
        <v>29</v>
      </c>
      <c r="B70" s="55" t="s">
        <v>645</v>
      </c>
      <c r="C70" s="55" t="s">
        <v>20</v>
      </c>
      <c r="D70" s="22">
        <v>152</v>
      </c>
      <c r="E70" s="22">
        <v>59</v>
      </c>
      <c r="F70" s="22">
        <v>1130</v>
      </c>
      <c r="G70" s="22">
        <v>427</v>
      </c>
      <c r="H70" s="55">
        <v>157.63</v>
      </c>
      <c r="I70" s="55">
        <v>164.64</v>
      </c>
      <c r="J70" s="55">
        <v>0.85</v>
      </c>
      <c r="K70" s="55">
        <v>0.91</v>
      </c>
      <c r="L70" s="55">
        <v>0.49</v>
      </c>
      <c r="M70" s="55">
        <v>0.41</v>
      </c>
      <c r="N70" s="55"/>
    </row>
    <row r="71" spans="1:14">
      <c r="A71" s="55">
        <v>30</v>
      </c>
      <c r="B71" s="55" t="s">
        <v>638</v>
      </c>
      <c r="C71" s="55" t="s">
        <v>20</v>
      </c>
      <c r="D71" s="22">
        <v>228</v>
      </c>
      <c r="E71" s="22">
        <v>0</v>
      </c>
      <c r="F71" s="22">
        <v>1116</v>
      </c>
      <c r="G71" s="22">
        <v>0</v>
      </c>
      <c r="H71" s="55">
        <v>0</v>
      </c>
      <c r="I71" s="55">
        <v>0</v>
      </c>
      <c r="J71" s="55">
        <v>1.28</v>
      </c>
      <c r="K71" s="55">
        <v>0.9</v>
      </c>
      <c r="L71" s="55">
        <v>0</v>
      </c>
      <c r="M71" s="55">
        <v>0</v>
      </c>
      <c r="N71" s="55"/>
    </row>
    <row r="72" spans="1:14">
      <c r="A72" s="55">
        <v>31</v>
      </c>
      <c r="B72" s="55" t="s">
        <v>637</v>
      </c>
      <c r="C72" s="55" t="s">
        <v>20</v>
      </c>
      <c r="D72" s="22">
        <v>314</v>
      </c>
      <c r="E72" s="22">
        <v>242</v>
      </c>
      <c r="F72" s="22">
        <v>1109</v>
      </c>
      <c r="G72" s="22">
        <v>1113</v>
      </c>
      <c r="H72" s="55">
        <v>29.75</v>
      </c>
      <c r="I72" s="55">
        <v>-0.36</v>
      </c>
      <c r="J72" s="55">
        <v>1.76</v>
      </c>
      <c r="K72" s="55">
        <v>0.89</v>
      </c>
      <c r="L72" s="55">
        <v>1.99</v>
      </c>
      <c r="M72" s="55">
        <v>1.06</v>
      </c>
      <c r="N72" s="55"/>
    </row>
    <row r="73" spans="1:14">
      <c r="A73" s="55">
        <v>32</v>
      </c>
      <c r="B73" s="55" t="s">
        <v>1023</v>
      </c>
      <c r="C73" s="55" t="s">
        <v>20</v>
      </c>
      <c r="D73" s="22">
        <v>122</v>
      </c>
      <c r="E73" s="22">
        <v>0</v>
      </c>
      <c r="F73" s="22">
        <v>1079</v>
      </c>
      <c r="G73" s="22">
        <v>0</v>
      </c>
      <c r="H73" s="55">
        <v>0</v>
      </c>
      <c r="I73" s="55">
        <v>0</v>
      </c>
      <c r="J73" s="55">
        <v>0.68</v>
      </c>
      <c r="K73" s="55">
        <v>0.87</v>
      </c>
      <c r="L73" s="55">
        <v>0</v>
      </c>
      <c r="M73" s="55">
        <v>0</v>
      </c>
      <c r="N73" s="55"/>
    </row>
    <row r="74" spans="1:14">
      <c r="A74" s="55">
        <v>33</v>
      </c>
      <c r="B74" s="55" t="s">
        <v>227</v>
      </c>
      <c r="C74" s="55" t="s">
        <v>19</v>
      </c>
      <c r="D74" s="22">
        <v>275</v>
      </c>
      <c r="E74" s="22">
        <v>155</v>
      </c>
      <c r="F74" s="22">
        <v>1047</v>
      </c>
      <c r="G74" s="22">
        <v>1439</v>
      </c>
      <c r="H74" s="55">
        <v>77.42</v>
      </c>
      <c r="I74" s="55">
        <v>-27.24</v>
      </c>
      <c r="J74" s="55">
        <v>1.54</v>
      </c>
      <c r="K74" s="55">
        <v>0.84</v>
      </c>
      <c r="L74" s="55">
        <v>1.28</v>
      </c>
      <c r="M74" s="55">
        <v>1.37</v>
      </c>
      <c r="N74" s="55"/>
    </row>
    <row r="75" spans="1:14">
      <c r="A75" s="55">
        <v>34</v>
      </c>
      <c r="B75" s="55" t="s">
        <v>399</v>
      </c>
      <c r="C75" s="55" t="s">
        <v>19</v>
      </c>
      <c r="D75" s="22">
        <v>125</v>
      </c>
      <c r="E75" s="22">
        <v>149</v>
      </c>
      <c r="F75" s="22">
        <v>1046</v>
      </c>
      <c r="G75" s="22">
        <v>1354</v>
      </c>
      <c r="H75" s="55">
        <v>-16.11</v>
      </c>
      <c r="I75" s="55">
        <v>-22.75</v>
      </c>
      <c r="J75" s="55">
        <v>0.7</v>
      </c>
      <c r="K75" s="55">
        <v>0.84</v>
      </c>
      <c r="L75" s="55">
        <v>1.23</v>
      </c>
      <c r="M75" s="55">
        <v>1.28</v>
      </c>
      <c r="N75" s="55"/>
    </row>
    <row r="76" spans="1:14">
      <c r="A76" s="55">
        <v>35</v>
      </c>
      <c r="B76" s="55" t="s">
        <v>1127</v>
      </c>
      <c r="C76" s="55" t="s">
        <v>20</v>
      </c>
      <c r="D76" s="22">
        <v>113</v>
      </c>
      <c r="E76" s="22">
        <v>0</v>
      </c>
      <c r="F76" s="22">
        <v>1007</v>
      </c>
      <c r="G76" s="22">
        <v>95</v>
      </c>
      <c r="H76" s="55">
        <v>0</v>
      </c>
      <c r="I76" s="55">
        <v>960</v>
      </c>
      <c r="J76" s="55">
        <v>0.63</v>
      </c>
      <c r="K76" s="55">
        <v>0.81</v>
      </c>
      <c r="L76" s="55">
        <v>0</v>
      </c>
      <c r="M76" s="55">
        <v>0.09</v>
      </c>
      <c r="N76" s="55"/>
    </row>
    <row r="77" spans="1:14">
      <c r="A77" s="55">
        <v>36</v>
      </c>
      <c r="B77" s="55" t="s">
        <v>980</v>
      </c>
      <c r="C77" s="55" t="s">
        <v>19</v>
      </c>
      <c r="D77" s="22">
        <v>128</v>
      </c>
      <c r="E77" s="22">
        <v>205</v>
      </c>
      <c r="F77" s="22">
        <v>1003</v>
      </c>
      <c r="G77" s="22">
        <v>308</v>
      </c>
      <c r="H77" s="55">
        <v>-37.56</v>
      </c>
      <c r="I77" s="55">
        <v>225.65</v>
      </c>
      <c r="J77" s="55">
        <v>0.72</v>
      </c>
      <c r="K77" s="55">
        <v>0.81</v>
      </c>
      <c r="L77" s="55">
        <v>1.69</v>
      </c>
      <c r="M77" s="55">
        <v>0.28999999999999998</v>
      </c>
      <c r="N77" s="55"/>
    </row>
    <row r="78" spans="1:14">
      <c r="A78" s="55">
        <v>37</v>
      </c>
      <c r="B78" s="55" t="s">
        <v>488</v>
      </c>
      <c r="C78" s="55" t="s">
        <v>19</v>
      </c>
      <c r="D78" s="22">
        <v>167</v>
      </c>
      <c r="E78" s="22">
        <v>44</v>
      </c>
      <c r="F78" s="22">
        <v>1002</v>
      </c>
      <c r="G78" s="22">
        <v>960</v>
      </c>
      <c r="H78" s="55">
        <v>279.55</v>
      </c>
      <c r="I78" s="55">
        <v>4.38</v>
      </c>
      <c r="J78" s="55">
        <v>0.94</v>
      </c>
      <c r="K78" s="55">
        <v>0.81</v>
      </c>
      <c r="L78" s="55">
        <v>0.36</v>
      </c>
      <c r="M78" s="55">
        <v>0.91</v>
      </c>
      <c r="N78" s="55"/>
    </row>
    <row r="79" spans="1:14">
      <c r="A79" s="55">
        <v>38</v>
      </c>
      <c r="B79" s="55" t="s">
        <v>584</v>
      </c>
      <c r="C79" s="55" t="s">
        <v>20</v>
      </c>
      <c r="D79" s="22">
        <v>298</v>
      </c>
      <c r="E79" s="22">
        <v>148</v>
      </c>
      <c r="F79" s="22">
        <v>930</v>
      </c>
      <c r="G79" s="22">
        <v>2222</v>
      </c>
      <c r="H79" s="55">
        <v>101.35</v>
      </c>
      <c r="I79" s="55">
        <v>-58.15</v>
      </c>
      <c r="J79" s="55">
        <v>1.67</v>
      </c>
      <c r="K79" s="55">
        <v>0.75</v>
      </c>
      <c r="L79" s="55">
        <v>1.22</v>
      </c>
      <c r="M79" s="55">
        <v>2.11</v>
      </c>
      <c r="N79" s="55"/>
    </row>
    <row r="80" spans="1:14">
      <c r="A80" s="55">
        <v>39</v>
      </c>
      <c r="B80" s="55" t="s">
        <v>1025</v>
      </c>
      <c r="C80" s="55" t="s">
        <v>19</v>
      </c>
      <c r="D80" s="22">
        <v>182</v>
      </c>
      <c r="E80" s="22">
        <v>0</v>
      </c>
      <c r="F80" s="22">
        <v>883</v>
      </c>
      <c r="G80" s="22">
        <v>0</v>
      </c>
      <c r="H80" s="55">
        <v>0</v>
      </c>
      <c r="I80" s="55">
        <v>0</v>
      </c>
      <c r="J80" s="55">
        <v>1.02</v>
      </c>
      <c r="K80" s="55">
        <v>0.71</v>
      </c>
      <c r="L80" s="55">
        <v>0</v>
      </c>
      <c r="M80" s="55">
        <v>0</v>
      </c>
      <c r="N80" s="55"/>
    </row>
    <row r="81" spans="1:14">
      <c r="A81" s="55">
        <v>40</v>
      </c>
      <c r="B81" s="55" t="s">
        <v>411</v>
      </c>
      <c r="C81" s="55" t="s">
        <v>19</v>
      </c>
      <c r="D81" s="22">
        <v>62</v>
      </c>
      <c r="E81" s="22">
        <v>150</v>
      </c>
      <c r="F81" s="22">
        <v>826</v>
      </c>
      <c r="G81" s="22">
        <v>1226</v>
      </c>
      <c r="H81" s="55">
        <v>-58.67</v>
      </c>
      <c r="I81" s="55">
        <v>-32.630000000000003</v>
      </c>
      <c r="J81" s="55">
        <v>0.35</v>
      </c>
      <c r="K81" s="55">
        <v>0.67</v>
      </c>
      <c r="L81" s="55">
        <v>1.23</v>
      </c>
      <c r="M81" s="55">
        <v>1.1599999999999999</v>
      </c>
      <c r="N81" s="55"/>
    </row>
    <row r="82" spans="1:14">
      <c r="A82" s="55">
        <v>41</v>
      </c>
      <c r="B82" s="55" t="s">
        <v>380</v>
      </c>
      <c r="C82" s="55" t="s">
        <v>19</v>
      </c>
      <c r="D82" s="22">
        <v>67</v>
      </c>
      <c r="E82" s="22">
        <v>103</v>
      </c>
      <c r="F82" s="22">
        <v>760</v>
      </c>
      <c r="G82" s="22">
        <v>1866</v>
      </c>
      <c r="H82" s="55">
        <v>-34.950000000000003</v>
      </c>
      <c r="I82" s="55">
        <v>-59.27</v>
      </c>
      <c r="J82" s="55">
        <v>0.38</v>
      </c>
      <c r="K82" s="55">
        <v>0.61</v>
      </c>
      <c r="L82" s="55">
        <v>0.85</v>
      </c>
      <c r="M82" s="55">
        <v>1.77</v>
      </c>
      <c r="N82" s="55"/>
    </row>
    <row r="83" spans="1:14">
      <c r="A83" s="55">
        <v>42</v>
      </c>
      <c r="B83" s="55" t="s">
        <v>697</v>
      </c>
      <c r="C83" s="55" t="s">
        <v>20</v>
      </c>
      <c r="D83" s="22">
        <v>107</v>
      </c>
      <c r="E83" s="22">
        <v>82</v>
      </c>
      <c r="F83" s="22">
        <v>752</v>
      </c>
      <c r="G83" s="22">
        <v>541</v>
      </c>
      <c r="H83" s="55">
        <v>30.49</v>
      </c>
      <c r="I83" s="55">
        <v>39</v>
      </c>
      <c r="J83" s="55">
        <v>0.6</v>
      </c>
      <c r="K83" s="55">
        <v>0.61</v>
      </c>
      <c r="L83" s="55">
        <v>0.68</v>
      </c>
      <c r="M83" s="55">
        <v>0.51</v>
      </c>
      <c r="N83" s="55"/>
    </row>
    <row r="84" spans="1:14">
      <c r="A84" s="55">
        <v>43</v>
      </c>
      <c r="B84" s="55" t="s">
        <v>394</v>
      </c>
      <c r="C84" s="55" t="s">
        <v>19</v>
      </c>
      <c r="D84" s="22">
        <v>19</v>
      </c>
      <c r="E84" s="22">
        <v>37</v>
      </c>
      <c r="F84" s="22">
        <v>749</v>
      </c>
      <c r="G84" s="22">
        <v>1187</v>
      </c>
      <c r="H84" s="55">
        <v>-48.65</v>
      </c>
      <c r="I84" s="55">
        <v>-36.9</v>
      </c>
      <c r="J84" s="55">
        <v>0.11</v>
      </c>
      <c r="K84" s="55">
        <v>0.6</v>
      </c>
      <c r="L84" s="55">
        <v>0.3</v>
      </c>
      <c r="M84" s="55">
        <v>1.1299999999999999</v>
      </c>
      <c r="N84" s="55"/>
    </row>
    <row r="85" spans="1:14">
      <c r="A85" s="55">
        <v>44</v>
      </c>
      <c r="B85" s="55" t="s">
        <v>659</v>
      </c>
      <c r="C85" s="55" t="s">
        <v>20</v>
      </c>
      <c r="D85" s="22">
        <v>128</v>
      </c>
      <c r="E85" s="22">
        <v>138</v>
      </c>
      <c r="F85" s="22">
        <v>727</v>
      </c>
      <c r="G85" s="22">
        <v>566</v>
      </c>
      <c r="H85" s="55">
        <v>-7.25</v>
      </c>
      <c r="I85" s="55">
        <v>28.45</v>
      </c>
      <c r="J85" s="55">
        <v>0.72</v>
      </c>
      <c r="K85" s="55">
        <v>0.59</v>
      </c>
      <c r="L85" s="55">
        <v>1.1399999999999999</v>
      </c>
      <c r="M85" s="55">
        <v>0.54</v>
      </c>
      <c r="N85" s="55"/>
    </row>
    <row r="86" spans="1:14">
      <c r="A86" s="55">
        <v>45</v>
      </c>
      <c r="B86" s="55" t="s">
        <v>689</v>
      </c>
      <c r="C86" s="55" t="s">
        <v>20</v>
      </c>
      <c r="D86" s="22">
        <v>27</v>
      </c>
      <c r="E86" s="22">
        <v>27</v>
      </c>
      <c r="F86" s="22">
        <v>714</v>
      </c>
      <c r="G86" s="22">
        <v>167</v>
      </c>
      <c r="H86" s="55">
        <v>0</v>
      </c>
      <c r="I86" s="55">
        <v>327.54000000000002</v>
      </c>
      <c r="J86" s="55">
        <v>0.15</v>
      </c>
      <c r="K86" s="55">
        <v>0.57999999999999996</v>
      </c>
      <c r="L86" s="55">
        <v>0.22</v>
      </c>
      <c r="M86" s="55">
        <v>0.16</v>
      </c>
      <c r="N86" s="55"/>
    </row>
    <row r="87" spans="1:14">
      <c r="A87" s="55">
        <v>46</v>
      </c>
      <c r="B87" s="55" t="s">
        <v>228</v>
      </c>
      <c r="C87" s="55" t="s">
        <v>19</v>
      </c>
      <c r="D87" s="22">
        <v>45</v>
      </c>
      <c r="E87" s="22">
        <v>76</v>
      </c>
      <c r="F87" s="22">
        <v>705</v>
      </c>
      <c r="G87" s="22">
        <v>799</v>
      </c>
      <c r="H87" s="55">
        <v>-40.79</v>
      </c>
      <c r="I87" s="55">
        <v>-11.76</v>
      </c>
      <c r="J87" s="55">
        <v>0.25</v>
      </c>
      <c r="K87" s="55">
        <v>0.56999999999999995</v>
      </c>
      <c r="L87" s="55">
        <v>0.63</v>
      </c>
      <c r="M87" s="55">
        <v>0.76</v>
      </c>
      <c r="N87" s="55"/>
    </row>
    <row r="88" spans="1:14">
      <c r="A88" s="55">
        <v>47</v>
      </c>
      <c r="B88" s="55" t="s">
        <v>487</v>
      </c>
      <c r="C88" s="55" t="s">
        <v>19</v>
      </c>
      <c r="D88" s="22">
        <v>86</v>
      </c>
      <c r="E88" s="22">
        <v>7</v>
      </c>
      <c r="F88" s="22">
        <v>703</v>
      </c>
      <c r="G88" s="22">
        <v>195</v>
      </c>
      <c r="H88" s="55">
        <v>1128.57</v>
      </c>
      <c r="I88" s="55">
        <v>260.51</v>
      </c>
      <c r="J88" s="55">
        <v>0.48</v>
      </c>
      <c r="K88" s="55">
        <v>0.56999999999999995</v>
      </c>
      <c r="L88" s="55">
        <v>0.06</v>
      </c>
      <c r="M88" s="55">
        <v>0.19</v>
      </c>
      <c r="N88" s="55"/>
    </row>
    <row r="89" spans="1:14">
      <c r="A89" s="55">
        <v>48</v>
      </c>
      <c r="B89" s="55" t="s">
        <v>493</v>
      </c>
      <c r="C89" s="55" t="s">
        <v>20</v>
      </c>
      <c r="D89" s="22">
        <v>93</v>
      </c>
      <c r="E89" s="22">
        <v>65</v>
      </c>
      <c r="F89" s="22">
        <v>682</v>
      </c>
      <c r="G89" s="22">
        <v>361</v>
      </c>
      <c r="H89" s="55">
        <v>43.08</v>
      </c>
      <c r="I89" s="55">
        <v>88.92</v>
      </c>
      <c r="J89" s="55">
        <v>0.52</v>
      </c>
      <c r="K89" s="55">
        <v>0.55000000000000004</v>
      </c>
      <c r="L89" s="55">
        <v>0.54</v>
      </c>
      <c r="M89" s="55">
        <v>0.34</v>
      </c>
      <c r="N89" s="55"/>
    </row>
    <row r="90" spans="1:14">
      <c r="A90" s="55">
        <v>49</v>
      </c>
      <c r="B90" s="55" t="s">
        <v>558</v>
      </c>
      <c r="C90" s="55" t="s">
        <v>20</v>
      </c>
      <c r="D90" s="22">
        <v>91</v>
      </c>
      <c r="E90" s="22">
        <v>39</v>
      </c>
      <c r="F90" s="22">
        <v>670</v>
      </c>
      <c r="G90" s="22">
        <v>336</v>
      </c>
      <c r="H90" s="55">
        <v>133.33000000000001</v>
      </c>
      <c r="I90" s="55">
        <v>99.4</v>
      </c>
      <c r="J90" s="55">
        <v>0.51</v>
      </c>
      <c r="K90" s="55">
        <v>0.54</v>
      </c>
      <c r="L90" s="55">
        <v>0.32</v>
      </c>
      <c r="M90" s="55">
        <v>0.32</v>
      </c>
      <c r="N90" s="55"/>
    </row>
    <row r="91" spans="1:14">
      <c r="A91" s="55">
        <v>50</v>
      </c>
      <c r="B91" s="55" t="s">
        <v>1010</v>
      </c>
      <c r="C91" s="55" t="s">
        <v>20</v>
      </c>
      <c r="D91" s="22">
        <v>89</v>
      </c>
      <c r="E91" s="22">
        <v>0</v>
      </c>
      <c r="F91" s="22">
        <v>654</v>
      </c>
      <c r="G91" s="22">
        <v>0</v>
      </c>
      <c r="H91" s="55">
        <v>0</v>
      </c>
      <c r="I91" s="55">
        <v>0</v>
      </c>
      <c r="J91" s="55">
        <v>0.5</v>
      </c>
      <c r="K91" s="55">
        <v>0.53</v>
      </c>
      <c r="L91" s="55">
        <v>0</v>
      </c>
      <c r="M91" s="55">
        <v>0</v>
      </c>
      <c r="N91" s="55"/>
    </row>
    <row r="92" spans="1:14">
      <c r="A92" s="55">
        <v>51</v>
      </c>
      <c r="B92" s="55" t="s">
        <v>560</v>
      </c>
      <c r="C92" s="55" t="s">
        <v>20</v>
      </c>
      <c r="D92" s="22">
        <v>10</v>
      </c>
      <c r="E92" s="22">
        <v>207</v>
      </c>
      <c r="F92" s="22">
        <v>623</v>
      </c>
      <c r="G92" s="22">
        <v>831</v>
      </c>
      <c r="H92" s="55">
        <v>-95.17</v>
      </c>
      <c r="I92" s="55">
        <v>-25.03</v>
      </c>
      <c r="J92" s="55">
        <v>0.06</v>
      </c>
      <c r="K92" s="55">
        <v>0.5</v>
      </c>
      <c r="L92" s="55">
        <v>1.7</v>
      </c>
      <c r="M92" s="55">
        <v>0.79</v>
      </c>
      <c r="N92" s="55"/>
    </row>
    <row r="93" spans="1:14">
      <c r="A93" s="55">
        <v>52</v>
      </c>
      <c r="B93" s="55" t="s">
        <v>400</v>
      </c>
      <c r="C93" s="55" t="s">
        <v>20</v>
      </c>
      <c r="D93" s="22">
        <v>58</v>
      </c>
      <c r="E93" s="22">
        <v>120</v>
      </c>
      <c r="F93" s="22">
        <v>591</v>
      </c>
      <c r="G93" s="22">
        <v>875</v>
      </c>
      <c r="H93" s="55">
        <v>-51.67</v>
      </c>
      <c r="I93" s="55">
        <v>-32.46</v>
      </c>
      <c r="J93" s="55">
        <v>0.33</v>
      </c>
      <c r="K93" s="55">
        <v>0.48</v>
      </c>
      <c r="L93" s="55">
        <v>0.99</v>
      </c>
      <c r="M93" s="55">
        <v>0.83</v>
      </c>
      <c r="N93" s="55"/>
    </row>
    <row r="94" spans="1:14">
      <c r="A94" s="55">
        <v>53</v>
      </c>
      <c r="B94" s="55" t="s">
        <v>358</v>
      </c>
      <c r="C94" s="55" t="s">
        <v>19</v>
      </c>
      <c r="D94" s="22">
        <v>69</v>
      </c>
      <c r="E94" s="22">
        <v>27</v>
      </c>
      <c r="F94" s="22">
        <v>590</v>
      </c>
      <c r="G94" s="22">
        <v>293</v>
      </c>
      <c r="H94" s="62">
        <v>155.56</v>
      </c>
      <c r="I94" s="62">
        <v>101.37</v>
      </c>
      <c r="J94" s="55">
        <v>0.39</v>
      </c>
      <c r="K94" s="55">
        <v>0.48</v>
      </c>
      <c r="L94" s="55">
        <v>0.22</v>
      </c>
      <c r="M94" s="55">
        <v>0.28000000000000003</v>
      </c>
      <c r="N94" s="55"/>
    </row>
    <row r="95" spans="1:14">
      <c r="A95" s="55">
        <v>54</v>
      </c>
      <c r="B95" s="55" t="s">
        <v>116</v>
      </c>
      <c r="C95" s="55" t="s">
        <v>19</v>
      </c>
      <c r="D95" s="22">
        <v>62</v>
      </c>
      <c r="E95" s="22">
        <v>123</v>
      </c>
      <c r="F95" s="22">
        <v>547</v>
      </c>
      <c r="G95" s="22">
        <v>706</v>
      </c>
      <c r="H95" s="78">
        <v>-49.59</v>
      </c>
      <c r="I95" s="78">
        <v>-22.52</v>
      </c>
      <c r="J95" s="55">
        <v>0.35</v>
      </c>
      <c r="K95" s="55">
        <v>0.44</v>
      </c>
      <c r="L95" s="55">
        <v>1.01</v>
      </c>
      <c r="M95" s="55">
        <v>0.67</v>
      </c>
      <c r="N95" s="55"/>
    </row>
    <row r="96" spans="1:14">
      <c r="A96" s="55">
        <v>55</v>
      </c>
      <c r="B96" s="55" t="s">
        <v>598</v>
      </c>
      <c r="C96" s="55" t="s">
        <v>20</v>
      </c>
      <c r="D96" s="22">
        <v>115</v>
      </c>
      <c r="E96" s="22">
        <v>20</v>
      </c>
      <c r="F96" s="22">
        <v>541</v>
      </c>
      <c r="G96" s="22">
        <v>334</v>
      </c>
      <c r="H96" s="55">
        <v>475</v>
      </c>
      <c r="I96" s="55">
        <v>61.98</v>
      </c>
      <c r="J96" s="55">
        <v>0.64</v>
      </c>
      <c r="K96" s="55">
        <v>0.44</v>
      </c>
      <c r="L96" s="55">
        <v>0.16</v>
      </c>
      <c r="M96" s="55">
        <v>0.32</v>
      </c>
      <c r="N96" s="55"/>
    </row>
    <row r="97" spans="1:14">
      <c r="A97" s="55">
        <v>56</v>
      </c>
      <c r="B97" s="55" t="s">
        <v>363</v>
      </c>
      <c r="C97" s="55" t="s">
        <v>20</v>
      </c>
      <c r="D97" s="22">
        <v>47</v>
      </c>
      <c r="E97" s="22">
        <v>7</v>
      </c>
      <c r="F97" s="22">
        <v>535</v>
      </c>
      <c r="G97" s="22">
        <v>590</v>
      </c>
      <c r="H97" s="55">
        <v>571.42999999999995</v>
      </c>
      <c r="I97" s="55">
        <v>-9.32</v>
      </c>
      <c r="J97" s="55">
        <v>0.26</v>
      </c>
      <c r="K97" s="55">
        <v>0.43</v>
      </c>
      <c r="L97" s="55">
        <v>0.06</v>
      </c>
      <c r="M97" s="55">
        <v>0.56000000000000005</v>
      </c>
      <c r="N97" s="55"/>
    </row>
    <row r="98" spans="1:14">
      <c r="A98" s="55">
        <v>57</v>
      </c>
      <c r="B98" s="55" t="s">
        <v>40</v>
      </c>
      <c r="C98" s="55" t="s">
        <v>19</v>
      </c>
      <c r="D98" s="22">
        <v>105</v>
      </c>
      <c r="E98" s="22">
        <v>82</v>
      </c>
      <c r="F98" s="22">
        <v>512</v>
      </c>
      <c r="G98" s="22">
        <v>392</v>
      </c>
      <c r="H98" s="55">
        <v>28.05</v>
      </c>
      <c r="I98" s="55">
        <v>30.61</v>
      </c>
      <c r="J98" s="55">
        <v>0.59</v>
      </c>
      <c r="K98" s="55">
        <v>0.41</v>
      </c>
      <c r="L98" s="55">
        <v>0.68</v>
      </c>
      <c r="M98" s="55">
        <v>0.37</v>
      </c>
      <c r="N98" s="55"/>
    </row>
    <row r="99" spans="1:14">
      <c r="A99" s="55">
        <v>58</v>
      </c>
      <c r="B99" s="55" t="s">
        <v>99</v>
      </c>
      <c r="C99" s="55" t="s">
        <v>20</v>
      </c>
      <c r="D99" s="22">
        <v>32</v>
      </c>
      <c r="E99" s="22">
        <v>107</v>
      </c>
      <c r="F99" s="22">
        <v>505</v>
      </c>
      <c r="G99" s="22">
        <v>942</v>
      </c>
      <c r="H99" s="55">
        <v>-70.09</v>
      </c>
      <c r="I99" s="55">
        <v>-46.39</v>
      </c>
      <c r="J99" s="55">
        <v>0.18</v>
      </c>
      <c r="K99" s="55">
        <v>0.41</v>
      </c>
      <c r="L99" s="55">
        <v>0.88</v>
      </c>
      <c r="M99" s="55">
        <v>0.89</v>
      </c>
      <c r="N99" s="55"/>
    </row>
    <row r="100" spans="1:14">
      <c r="A100" s="55">
        <v>59</v>
      </c>
      <c r="B100" s="55" t="s">
        <v>652</v>
      </c>
      <c r="C100" s="55" t="s">
        <v>19</v>
      </c>
      <c r="D100" s="22">
        <v>104</v>
      </c>
      <c r="E100" s="22">
        <v>31</v>
      </c>
      <c r="F100" s="22">
        <v>500</v>
      </c>
      <c r="G100" s="22">
        <v>243</v>
      </c>
      <c r="H100" s="55">
        <v>235.48</v>
      </c>
      <c r="I100" s="55">
        <v>105.76</v>
      </c>
      <c r="J100" s="55">
        <v>0.57999999999999996</v>
      </c>
      <c r="K100" s="55">
        <v>0.4</v>
      </c>
      <c r="L100" s="55">
        <v>0.26</v>
      </c>
      <c r="M100" s="55">
        <v>0.23</v>
      </c>
      <c r="N100" s="55"/>
    </row>
    <row r="101" spans="1:14">
      <c r="A101" s="55">
        <v>60</v>
      </c>
      <c r="B101" s="55" t="s">
        <v>404</v>
      </c>
      <c r="C101" s="55" t="s">
        <v>19</v>
      </c>
      <c r="D101" s="22">
        <v>71</v>
      </c>
      <c r="E101" s="22">
        <v>124</v>
      </c>
      <c r="F101" s="22">
        <v>495</v>
      </c>
      <c r="G101" s="22">
        <v>309</v>
      </c>
      <c r="H101" s="55">
        <v>-42.74</v>
      </c>
      <c r="I101" s="55">
        <v>60.19</v>
      </c>
      <c r="J101" s="55">
        <v>0.4</v>
      </c>
      <c r="K101" s="55">
        <v>0.4</v>
      </c>
      <c r="L101" s="55">
        <v>1.02</v>
      </c>
      <c r="M101" s="55">
        <v>0.28999999999999998</v>
      </c>
      <c r="N101" s="55"/>
    </row>
    <row r="102" spans="1:14">
      <c r="A102" s="55">
        <v>61</v>
      </c>
      <c r="B102" s="55" t="s">
        <v>1031</v>
      </c>
      <c r="C102" s="55" t="s">
        <v>20</v>
      </c>
      <c r="D102" s="22">
        <v>41</v>
      </c>
      <c r="E102" s="22">
        <v>0</v>
      </c>
      <c r="F102" s="22">
        <v>481</v>
      </c>
      <c r="G102" s="22">
        <v>0</v>
      </c>
      <c r="H102" s="55">
        <v>0</v>
      </c>
      <c r="I102" s="55">
        <v>0</v>
      </c>
      <c r="J102" s="55">
        <v>0.23</v>
      </c>
      <c r="K102" s="55">
        <v>0.39</v>
      </c>
      <c r="L102" s="55">
        <v>0</v>
      </c>
      <c r="M102" s="55">
        <v>0</v>
      </c>
      <c r="N102" s="55"/>
    </row>
    <row r="103" spans="1:14">
      <c r="A103" s="55">
        <v>62</v>
      </c>
      <c r="B103" s="55" t="s">
        <v>373</v>
      </c>
      <c r="C103" s="55" t="s">
        <v>19</v>
      </c>
      <c r="D103" s="22">
        <v>45</v>
      </c>
      <c r="E103" s="22">
        <v>39</v>
      </c>
      <c r="F103" s="22">
        <v>447</v>
      </c>
      <c r="G103" s="22">
        <v>840</v>
      </c>
      <c r="H103" s="55">
        <v>15.38</v>
      </c>
      <c r="I103" s="55">
        <v>-46.79</v>
      </c>
      <c r="J103" s="55">
        <v>0.25</v>
      </c>
      <c r="K103" s="55">
        <v>0.36</v>
      </c>
      <c r="L103" s="55">
        <v>0.32</v>
      </c>
      <c r="M103" s="55">
        <v>0.8</v>
      </c>
      <c r="N103" s="55"/>
    </row>
    <row r="104" spans="1:14">
      <c r="A104" s="55">
        <v>63</v>
      </c>
      <c r="B104" s="55" t="s">
        <v>75</v>
      </c>
      <c r="C104" s="55" t="s">
        <v>19</v>
      </c>
      <c r="D104" s="22">
        <v>14</v>
      </c>
      <c r="E104" s="22">
        <v>1</v>
      </c>
      <c r="F104" s="22">
        <v>430</v>
      </c>
      <c r="G104" s="22">
        <v>334</v>
      </c>
      <c r="H104" s="55">
        <v>1300</v>
      </c>
      <c r="I104" s="55">
        <v>28.74</v>
      </c>
      <c r="J104" s="55">
        <v>0.08</v>
      </c>
      <c r="K104" s="55">
        <v>0.35</v>
      </c>
      <c r="L104" s="55">
        <v>0.01</v>
      </c>
      <c r="M104" s="55">
        <v>0.32</v>
      </c>
      <c r="N104" s="55"/>
    </row>
    <row r="105" spans="1:14">
      <c r="A105" s="55">
        <v>64</v>
      </c>
      <c r="B105" s="55" t="s">
        <v>389</v>
      </c>
      <c r="C105" s="55" t="s">
        <v>19</v>
      </c>
      <c r="D105" s="22">
        <v>77</v>
      </c>
      <c r="E105" s="22">
        <v>84</v>
      </c>
      <c r="F105" s="22">
        <v>422</v>
      </c>
      <c r="G105" s="22">
        <v>1004</v>
      </c>
      <c r="H105" s="55">
        <v>-8.33</v>
      </c>
      <c r="I105" s="55">
        <v>-57.97</v>
      </c>
      <c r="J105" s="55">
        <v>0.43</v>
      </c>
      <c r="K105" s="55">
        <v>0.34</v>
      </c>
      <c r="L105" s="55">
        <v>0.69</v>
      </c>
      <c r="M105" s="55">
        <v>0.95</v>
      </c>
      <c r="N105" s="55"/>
    </row>
    <row r="106" spans="1:14">
      <c r="A106" s="55">
        <v>65</v>
      </c>
      <c r="B106" s="55" t="s">
        <v>405</v>
      </c>
      <c r="C106" s="55" t="s">
        <v>20</v>
      </c>
      <c r="D106" s="22">
        <v>10</v>
      </c>
      <c r="E106" s="22">
        <v>25</v>
      </c>
      <c r="F106" s="22">
        <v>421</v>
      </c>
      <c r="G106" s="22">
        <v>409</v>
      </c>
      <c r="H106" s="55">
        <v>-60</v>
      </c>
      <c r="I106" s="55">
        <v>2.93</v>
      </c>
      <c r="J106" s="55">
        <v>0.06</v>
      </c>
      <c r="K106" s="55">
        <v>0.34</v>
      </c>
      <c r="L106" s="55">
        <v>0.21</v>
      </c>
      <c r="M106" s="55">
        <v>0.39</v>
      </c>
      <c r="N106" s="55"/>
    </row>
    <row r="107" spans="1:14">
      <c r="A107" s="55">
        <v>66</v>
      </c>
      <c r="B107" s="55" t="s">
        <v>374</v>
      </c>
      <c r="C107" s="55" t="s">
        <v>19</v>
      </c>
      <c r="D107" s="22">
        <v>97</v>
      </c>
      <c r="E107" s="22">
        <v>16</v>
      </c>
      <c r="F107" s="22">
        <v>415</v>
      </c>
      <c r="G107" s="22">
        <v>88</v>
      </c>
      <c r="H107" s="55">
        <v>506.25</v>
      </c>
      <c r="I107" s="55">
        <v>371.59</v>
      </c>
      <c r="J107" s="55">
        <v>0.54</v>
      </c>
      <c r="K107" s="55">
        <v>0.33</v>
      </c>
      <c r="L107" s="55">
        <v>0.13</v>
      </c>
      <c r="M107" s="55">
        <v>0.08</v>
      </c>
      <c r="N107" s="55"/>
    </row>
    <row r="108" spans="1:14">
      <c r="A108" s="55">
        <v>67</v>
      </c>
      <c r="B108" s="55" t="s">
        <v>591</v>
      </c>
      <c r="C108" s="55" t="s">
        <v>20</v>
      </c>
      <c r="D108" s="22">
        <v>38</v>
      </c>
      <c r="E108" s="22">
        <v>137</v>
      </c>
      <c r="F108" s="22">
        <v>411</v>
      </c>
      <c r="G108" s="22">
        <v>1248</v>
      </c>
      <c r="H108" s="55">
        <v>-72.260000000000005</v>
      </c>
      <c r="I108" s="55">
        <v>-67.069999999999993</v>
      </c>
      <c r="J108" s="55">
        <v>0.21</v>
      </c>
      <c r="K108" s="55">
        <v>0.33</v>
      </c>
      <c r="L108" s="55">
        <v>1.1299999999999999</v>
      </c>
      <c r="M108" s="55">
        <v>1.18</v>
      </c>
      <c r="N108" s="55"/>
    </row>
    <row r="109" spans="1:14">
      <c r="A109" s="55">
        <v>68</v>
      </c>
      <c r="B109" s="55" t="s">
        <v>234</v>
      </c>
      <c r="C109" s="55" t="s">
        <v>19</v>
      </c>
      <c r="D109" s="22">
        <v>16</v>
      </c>
      <c r="E109" s="22">
        <v>13</v>
      </c>
      <c r="F109" s="22">
        <v>411</v>
      </c>
      <c r="G109" s="22">
        <v>17</v>
      </c>
      <c r="H109" s="55">
        <v>23.08</v>
      </c>
      <c r="I109" s="55">
        <v>2317.65</v>
      </c>
      <c r="J109" s="55">
        <v>0.09</v>
      </c>
      <c r="K109" s="55">
        <v>0.33</v>
      </c>
      <c r="L109" s="55">
        <v>0.11</v>
      </c>
      <c r="M109" s="55">
        <v>0.02</v>
      </c>
      <c r="N109" s="55"/>
    </row>
    <row r="110" spans="1:14">
      <c r="A110" s="55">
        <v>69</v>
      </c>
      <c r="B110" s="55" t="s">
        <v>1093</v>
      </c>
      <c r="C110" s="55" t="s">
        <v>20</v>
      </c>
      <c r="D110" s="22">
        <v>76</v>
      </c>
      <c r="E110" s="22">
        <v>25</v>
      </c>
      <c r="F110" s="22">
        <v>385</v>
      </c>
      <c r="G110" s="22">
        <v>61</v>
      </c>
      <c r="H110" s="55">
        <v>204</v>
      </c>
      <c r="I110" s="55">
        <v>531.15</v>
      </c>
      <c r="J110" s="55">
        <v>0.43</v>
      </c>
      <c r="K110" s="55">
        <v>0.31</v>
      </c>
      <c r="L110" s="55">
        <v>0.21</v>
      </c>
      <c r="M110" s="55">
        <v>0.06</v>
      </c>
      <c r="N110" s="55"/>
    </row>
    <row r="111" spans="1:14">
      <c r="A111" s="55">
        <v>70</v>
      </c>
      <c r="B111" s="55" t="s">
        <v>352</v>
      </c>
      <c r="C111" s="55" t="s">
        <v>19</v>
      </c>
      <c r="D111" s="22">
        <v>29</v>
      </c>
      <c r="E111" s="22">
        <v>53</v>
      </c>
      <c r="F111" s="22">
        <v>353</v>
      </c>
      <c r="G111" s="22">
        <v>455</v>
      </c>
      <c r="H111" s="55">
        <v>-45.28</v>
      </c>
      <c r="I111" s="55">
        <v>-22.42</v>
      </c>
      <c r="J111" s="55">
        <v>0.16</v>
      </c>
      <c r="K111" s="55">
        <v>0.28000000000000003</v>
      </c>
      <c r="L111" s="55">
        <v>0.44</v>
      </c>
      <c r="M111" s="55">
        <v>0.43</v>
      </c>
      <c r="N111" s="55"/>
    </row>
    <row r="112" spans="1:14">
      <c r="A112" s="55">
        <v>71</v>
      </c>
      <c r="B112" s="55" t="s">
        <v>1187</v>
      </c>
      <c r="C112" s="55" t="s">
        <v>20</v>
      </c>
      <c r="D112" s="22">
        <v>66</v>
      </c>
      <c r="E112" s="22">
        <v>0</v>
      </c>
      <c r="F112" s="22">
        <v>351</v>
      </c>
      <c r="G112" s="22">
        <v>0</v>
      </c>
      <c r="H112" s="55">
        <v>0</v>
      </c>
      <c r="I112" s="55">
        <v>0</v>
      </c>
      <c r="J112" s="55">
        <v>0.37</v>
      </c>
      <c r="K112" s="55">
        <v>0.28000000000000003</v>
      </c>
      <c r="L112" s="55">
        <v>0</v>
      </c>
      <c r="M112" s="55">
        <v>0</v>
      </c>
      <c r="N112" s="55"/>
    </row>
    <row r="113" spans="1:14">
      <c r="A113" s="55">
        <v>72</v>
      </c>
      <c r="B113" s="55" t="s">
        <v>401</v>
      </c>
      <c r="C113" s="55" t="s">
        <v>19</v>
      </c>
      <c r="D113" s="22">
        <v>60</v>
      </c>
      <c r="E113" s="22">
        <v>6</v>
      </c>
      <c r="F113" s="22">
        <v>337</v>
      </c>
      <c r="G113" s="22">
        <v>808</v>
      </c>
      <c r="H113" s="55">
        <v>900</v>
      </c>
      <c r="I113" s="55">
        <v>-58.29</v>
      </c>
      <c r="J113" s="55">
        <v>0.34</v>
      </c>
      <c r="K113" s="55">
        <v>0.27</v>
      </c>
      <c r="L113" s="55">
        <v>0.05</v>
      </c>
      <c r="M113" s="55">
        <v>0.77</v>
      </c>
      <c r="N113" s="55"/>
    </row>
    <row r="114" spans="1:14">
      <c r="A114" s="55">
        <v>73</v>
      </c>
      <c r="B114" s="55" t="s">
        <v>481</v>
      </c>
      <c r="C114" s="55" t="s">
        <v>20</v>
      </c>
      <c r="D114" s="22">
        <v>3</v>
      </c>
      <c r="E114" s="22">
        <v>180</v>
      </c>
      <c r="F114" s="22">
        <v>335</v>
      </c>
      <c r="G114" s="22">
        <v>391</v>
      </c>
      <c r="H114" s="55">
        <v>-98.33</v>
      </c>
      <c r="I114" s="55">
        <v>-14.32</v>
      </c>
      <c r="J114" s="55">
        <v>0.02</v>
      </c>
      <c r="K114" s="55">
        <v>0.27</v>
      </c>
      <c r="L114" s="55">
        <v>1.48</v>
      </c>
      <c r="M114" s="55">
        <v>0.37</v>
      </c>
      <c r="N114" s="55"/>
    </row>
    <row r="115" spans="1:14">
      <c r="A115" s="55">
        <v>74</v>
      </c>
      <c r="B115" s="55" t="s">
        <v>639</v>
      </c>
      <c r="C115" s="55" t="s">
        <v>20</v>
      </c>
      <c r="D115" s="22">
        <v>48</v>
      </c>
      <c r="E115" s="22">
        <v>19</v>
      </c>
      <c r="F115" s="22">
        <v>335</v>
      </c>
      <c r="G115" s="22">
        <v>250</v>
      </c>
      <c r="H115" s="55">
        <v>152.63</v>
      </c>
      <c r="I115" s="55">
        <v>34</v>
      </c>
      <c r="J115" s="55">
        <v>0.27</v>
      </c>
      <c r="K115" s="55">
        <v>0.27</v>
      </c>
      <c r="L115" s="55">
        <v>0.16</v>
      </c>
      <c r="M115" s="55">
        <v>0.24</v>
      </c>
      <c r="N115" s="55"/>
    </row>
    <row r="116" spans="1:14">
      <c r="A116" s="55">
        <v>75</v>
      </c>
      <c r="B116" s="55" t="s">
        <v>137</v>
      </c>
      <c r="C116" s="55" t="s">
        <v>20</v>
      </c>
      <c r="D116" s="22">
        <v>22</v>
      </c>
      <c r="E116" s="22">
        <v>0</v>
      </c>
      <c r="F116" s="22">
        <v>304</v>
      </c>
      <c r="G116" s="22">
        <v>0</v>
      </c>
      <c r="H116" s="55">
        <v>0</v>
      </c>
      <c r="I116" s="55">
        <v>0</v>
      </c>
      <c r="J116" s="55">
        <v>0.12</v>
      </c>
      <c r="K116" s="55">
        <v>0.24</v>
      </c>
      <c r="L116" s="55">
        <v>0</v>
      </c>
      <c r="M116" s="55">
        <v>0</v>
      </c>
      <c r="N116" s="55"/>
    </row>
    <row r="117" spans="1:14">
      <c r="A117" s="55">
        <v>76</v>
      </c>
      <c r="B117" s="55" t="s">
        <v>410</v>
      </c>
      <c r="C117" s="55" t="s">
        <v>20</v>
      </c>
      <c r="D117" s="22">
        <v>5</v>
      </c>
      <c r="E117" s="22">
        <v>88</v>
      </c>
      <c r="F117" s="22">
        <v>278</v>
      </c>
      <c r="G117" s="22">
        <v>1067</v>
      </c>
      <c r="H117" s="55">
        <v>-94.32</v>
      </c>
      <c r="I117" s="55">
        <v>-73.95</v>
      </c>
      <c r="J117" s="55">
        <v>0.03</v>
      </c>
      <c r="K117" s="55">
        <v>0.22</v>
      </c>
      <c r="L117" s="55">
        <v>0.72</v>
      </c>
      <c r="M117" s="55">
        <v>1.01</v>
      </c>
      <c r="N117" s="55"/>
    </row>
    <row r="118" spans="1:14">
      <c r="A118" s="55">
        <v>77</v>
      </c>
      <c r="B118" s="55" t="s">
        <v>1003</v>
      </c>
      <c r="C118" s="55" t="s">
        <v>20</v>
      </c>
      <c r="D118" s="22">
        <v>40</v>
      </c>
      <c r="E118" s="22">
        <v>55</v>
      </c>
      <c r="F118" s="22">
        <v>265</v>
      </c>
      <c r="G118" s="22">
        <v>55</v>
      </c>
      <c r="H118" s="55">
        <v>-27.27</v>
      </c>
      <c r="I118" s="55">
        <v>381.82</v>
      </c>
      <c r="J118" s="55">
        <v>0.22</v>
      </c>
      <c r="K118" s="55">
        <v>0.21</v>
      </c>
      <c r="L118" s="55">
        <v>0.45</v>
      </c>
      <c r="M118" s="55">
        <v>0.05</v>
      </c>
      <c r="N118" s="55"/>
    </row>
    <row r="119" spans="1:14">
      <c r="A119" s="55">
        <v>78</v>
      </c>
      <c r="B119" s="55" t="s">
        <v>629</v>
      </c>
      <c r="C119" s="55" t="s">
        <v>19</v>
      </c>
      <c r="D119" s="22">
        <v>7</v>
      </c>
      <c r="E119" s="22">
        <v>18</v>
      </c>
      <c r="F119" s="22">
        <v>263</v>
      </c>
      <c r="G119" s="22">
        <v>234</v>
      </c>
      <c r="H119" s="55">
        <v>-61.11</v>
      </c>
      <c r="I119" s="55">
        <v>12.39</v>
      </c>
      <c r="J119" s="55">
        <v>0.04</v>
      </c>
      <c r="K119" s="55">
        <v>0.21</v>
      </c>
      <c r="L119" s="55">
        <v>0.15</v>
      </c>
      <c r="M119" s="55">
        <v>0.22</v>
      </c>
      <c r="N119" s="55"/>
    </row>
    <row r="120" spans="1:14">
      <c r="A120" s="55">
        <v>79</v>
      </c>
      <c r="B120" s="55" t="s">
        <v>1215</v>
      </c>
      <c r="C120" s="55" t="s">
        <v>19</v>
      </c>
      <c r="D120" s="22">
        <v>86</v>
      </c>
      <c r="E120" s="22">
        <v>0</v>
      </c>
      <c r="F120" s="22">
        <v>254</v>
      </c>
      <c r="G120" s="22">
        <v>0</v>
      </c>
      <c r="H120" s="55">
        <v>0</v>
      </c>
      <c r="I120" s="55">
        <v>0</v>
      </c>
      <c r="J120" s="55">
        <v>0.48</v>
      </c>
      <c r="K120" s="55">
        <v>0.2</v>
      </c>
      <c r="L120" s="55">
        <v>0</v>
      </c>
      <c r="M120" s="55">
        <v>0</v>
      </c>
      <c r="N120" s="55"/>
    </row>
    <row r="121" spans="1:14">
      <c r="A121" s="55">
        <v>80</v>
      </c>
      <c r="B121" s="55" t="s">
        <v>395</v>
      </c>
      <c r="C121" s="55" t="s">
        <v>20</v>
      </c>
      <c r="D121" s="22">
        <v>16</v>
      </c>
      <c r="E121" s="22">
        <v>85</v>
      </c>
      <c r="F121" s="22">
        <v>252</v>
      </c>
      <c r="G121" s="22">
        <v>548</v>
      </c>
      <c r="H121" s="55">
        <v>-81.180000000000007</v>
      </c>
      <c r="I121" s="55">
        <v>-54.01</v>
      </c>
      <c r="J121" s="55">
        <v>0.09</v>
      </c>
      <c r="K121" s="55">
        <v>0.2</v>
      </c>
      <c r="L121" s="55">
        <v>0.7</v>
      </c>
      <c r="M121" s="55">
        <v>0.52</v>
      </c>
      <c r="N121" s="55"/>
    </row>
    <row r="122" spans="1:14">
      <c r="A122" s="55">
        <v>81</v>
      </c>
      <c r="B122" s="55" t="s">
        <v>360</v>
      </c>
      <c r="C122" s="55" t="s">
        <v>19</v>
      </c>
      <c r="D122" s="22">
        <v>19</v>
      </c>
      <c r="E122" s="22">
        <v>88</v>
      </c>
      <c r="F122" s="22">
        <v>248</v>
      </c>
      <c r="G122" s="22">
        <v>1136</v>
      </c>
      <c r="H122" s="55">
        <v>-78.41</v>
      </c>
      <c r="I122" s="55">
        <v>-78.17</v>
      </c>
      <c r="J122" s="55">
        <v>0.11</v>
      </c>
      <c r="K122" s="55">
        <v>0.2</v>
      </c>
      <c r="L122" s="55">
        <v>0.72</v>
      </c>
      <c r="M122" s="55">
        <v>1.08</v>
      </c>
      <c r="N122" s="55"/>
    </row>
    <row r="123" spans="1:14">
      <c r="A123" s="55">
        <v>82</v>
      </c>
      <c r="B123" s="55" t="s">
        <v>172</v>
      </c>
      <c r="C123" s="55" t="s">
        <v>19</v>
      </c>
      <c r="D123" s="22">
        <v>27</v>
      </c>
      <c r="E123" s="22">
        <v>34</v>
      </c>
      <c r="F123" s="22">
        <v>248</v>
      </c>
      <c r="G123" s="22">
        <v>318</v>
      </c>
      <c r="H123" s="55">
        <v>-20.59</v>
      </c>
      <c r="I123" s="55">
        <v>-22.01</v>
      </c>
      <c r="J123" s="55">
        <v>0.15</v>
      </c>
      <c r="K123" s="55">
        <v>0.2</v>
      </c>
      <c r="L123" s="55">
        <v>0.28000000000000003</v>
      </c>
      <c r="M123" s="55">
        <v>0.3</v>
      </c>
      <c r="N123" s="55"/>
    </row>
    <row r="124" spans="1:14">
      <c r="A124" s="55">
        <v>83</v>
      </c>
      <c r="B124" s="55" t="s">
        <v>441</v>
      </c>
      <c r="C124" s="55" t="s">
        <v>20</v>
      </c>
      <c r="D124" s="22">
        <v>37</v>
      </c>
      <c r="E124" s="22">
        <v>20</v>
      </c>
      <c r="F124" s="22">
        <v>246</v>
      </c>
      <c r="G124" s="22">
        <v>95</v>
      </c>
      <c r="H124" s="55">
        <v>85</v>
      </c>
      <c r="I124" s="55">
        <v>158.94999999999999</v>
      </c>
      <c r="J124" s="55">
        <v>0.21</v>
      </c>
      <c r="K124" s="55">
        <v>0.2</v>
      </c>
      <c r="L124" s="55">
        <v>0.16</v>
      </c>
      <c r="M124" s="55">
        <v>0.09</v>
      </c>
      <c r="N124" s="55"/>
    </row>
    <row r="125" spans="1:14">
      <c r="A125" s="55">
        <v>84</v>
      </c>
      <c r="B125" s="55" t="s">
        <v>430</v>
      </c>
      <c r="C125" s="55" t="s">
        <v>19</v>
      </c>
      <c r="D125" s="22">
        <v>37</v>
      </c>
      <c r="E125" s="22">
        <v>24</v>
      </c>
      <c r="F125" s="22">
        <v>245</v>
      </c>
      <c r="G125" s="22">
        <v>487</v>
      </c>
      <c r="H125" s="55">
        <v>54.17</v>
      </c>
      <c r="I125" s="55">
        <v>-49.69</v>
      </c>
      <c r="J125" s="55">
        <v>0.21</v>
      </c>
      <c r="K125" s="55">
        <v>0.2</v>
      </c>
      <c r="L125" s="55">
        <v>0.2</v>
      </c>
      <c r="M125" s="55">
        <v>0.46</v>
      </c>
      <c r="N125" s="55"/>
    </row>
    <row r="126" spans="1:14">
      <c r="A126" s="55">
        <v>85</v>
      </c>
      <c r="B126" s="55" t="s">
        <v>1035</v>
      </c>
      <c r="C126" s="55" t="s">
        <v>20</v>
      </c>
      <c r="D126" s="22">
        <v>99</v>
      </c>
      <c r="E126" s="22">
        <v>0</v>
      </c>
      <c r="F126" s="22">
        <v>244</v>
      </c>
      <c r="G126" s="22">
        <v>0</v>
      </c>
      <c r="H126" s="55">
        <v>0</v>
      </c>
      <c r="I126" s="55">
        <v>0</v>
      </c>
      <c r="J126" s="55">
        <v>0.56000000000000005</v>
      </c>
      <c r="K126" s="55">
        <v>0.2</v>
      </c>
      <c r="L126" s="55">
        <v>0</v>
      </c>
      <c r="M126" s="55">
        <v>0</v>
      </c>
      <c r="N126" s="55"/>
    </row>
    <row r="127" spans="1:14">
      <c r="A127" s="55">
        <v>86</v>
      </c>
      <c r="B127" s="55" t="s">
        <v>571</v>
      </c>
      <c r="C127" s="55" t="s">
        <v>20</v>
      </c>
      <c r="D127" s="22">
        <v>4</v>
      </c>
      <c r="E127" s="22">
        <v>29</v>
      </c>
      <c r="F127" s="22">
        <v>243</v>
      </c>
      <c r="G127" s="22">
        <v>526</v>
      </c>
      <c r="H127" s="55">
        <v>-86.21</v>
      </c>
      <c r="I127" s="55">
        <v>-53.8</v>
      </c>
      <c r="J127" s="55">
        <v>0.02</v>
      </c>
      <c r="K127" s="55">
        <v>0.2</v>
      </c>
      <c r="L127" s="55">
        <v>0.24</v>
      </c>
      <c r="M127" s="55">
        <v>0.5</v>
      </c>
      <c r="N127" s="55"/>
    </row>
    <row r="128" spans="1:14">
      <c r="A128" s="55">
        <v>87</v>
      </c>
      <c r="B128" s="55" t="s">
        <v>375</v>
      </c>
      <c r="C128" s="55" t="s">
        <v>19</v>
      </c>
      <c r="D128" s="22">
        <v>10</v>
      </c>
      <c r="E128" s="22">
        <v>69</v>
      </c>
      <c r="F128" s="22">
        <v>241</v>
      </c>
      <c r="G128" s="22">
        <v>404</v>
      </c>
      <c r="H128" s="55">
        <v>-85.51</v>
      </c>
      <c r="I128" s="55">
        <v>-40.35</v>
      </c>
      <c r="J128" s="55">
        <v>0.06</v>
      </c>
      <c r="K128" s="55">
        <v>0.19</v>
      </c>
      <c r="L128" s="55">
        <v>0.56999999999999995</v>
      </c>
      <c r="M128" s="55">
        <v>0.38</v>
      </c>
      <c r="N128" s="55"/>
    </row>
    <row r="129" spans="1:14">
      <c r="A129" s="55">
        <v>88</v>
      </c>
      <c r="B129" s="55" t="s">
        <v>396</v>
      </c>
      <c r="C129" s="55" t="s">
        <v>19</v>
      </c>
      <c r="D129" s="22">
        <v>2</v>
      </c>
      <c r="E129" s="22">
        <v>53</v>
      </c>
      <c r="F129" s="22">
        <v>238</v>
      </c>
      <c r="G129" s="22">
        <v>458</v>
      </c>
      <c r="H129" s="55">
        <v>-96.23</v>
      </c>
      <c r="I129" s="55">
        <v>-48.03</v>
      </c>
      <c r="J129" s="55">
        <v>0.01</v>
      </c>
      <c r="K129" s="55">
        <v>0.19</v>
      </c>
      <c r="L129" s="55">
        <v>0.44</v>
      </c>
      <c r="M129" s="55">
        <v>0.43</v>
      </c>
      <c r="N129" s="55"/>
    </row>
    <row r="130" spans="1:14">
      <c r="A130" s="55">
        <v>89</v>
      </c>
      <c r="B130" s="55" t="s">
        <v>585</v>
      </c>
      <c r="C130" s="55" t="s">
        <v>19</v>
      </c>
      <c r="D130" s="22">
        <v>80</v>
      </c>
      <c r="E130" s="22">
        <v>5</v>
      </c>
      <c r="F130" s="22">
        <v>227</v>
      </c>
      <c r="G130" s="22">
        <v>1354</v>
      </c>
      <c r="H130" s="55">
        <v>1500</v>
      </c>
      <c r="I130" s="55">
        <v>-83.23</v>
      </c>
      <c r="J130" s="55">
        <v>0.45</v>
      </c>
      <c r="K130" s="55">
        <v>0.18</v>
      </c>
      <c r="L130" s="55">
        <v>0.04</v>
      </c>
      <c r="M130" s="55">
        <v>1.28</v>
      </c>
      <c r="N130" s="55"/>
    </row>
    <row r="131" spans="1:14">
      <c r="A131" s="55">
        <v>90</v>
      </c>
      <c r="B131" s="55" t="s">
        <v>382</v>
      </c>
      <c r="C131" s="55" t="s">
        <v>19</v>
      </c>
      <c r="D131" s="22">
        <v>36</v>
      </c>
      <c r="E131" s="22">
        <v>39</v>
      </c>
      <c r="F131" s="22">
        <v>219</v>
      </c>
      <c r="G131" s="22">
        <v>162</v>
      </c>
      <c r="H131" s="55">
        <v>-7.69</v>
      </c>
      <c r="I131" s="55">
        <v>35.19</v>
      </c>
      <c r="J131" s="55">
        <v>0.2</v>
      </c>
      <c r="K131" s="55">
        <v>0.18</v>
      </c>
      <c r="L131" s="55">
        <v>0.32</v>
      </c>
      <c r="M131" s="55">
        <v>0.15</v>
      </c>
      <c r="N131" s="55"/>
    </row>
    <row r="132" spans="1:14">
      <c r="A132" s="55">
        <v>91</v>
      </c>
      <c r="B132" s="55" t="s">
        <v>496</v>
      </c>
      <c r="C132" s="55" t="s">
        <v>19</v>
      </c>
      <c r="D132" s="22">
        <v>45</v>
      </c>
      <c r="E132" s="22">
        <v>17</v>
      </c>
      <c r="F132" s="22">
        <v>217</v>
      </c>
      <c r="G132" s="22">
        <v>164</v>
      </c>
      <c r="H132" s="55">
        <v>164.71</v>
      </c>
      <c r="I132" s="55">
        <v>32.32</v>
      </c>
      <c r="J132" s="55">
        <v>0.25</v>
      </c>
      <c r="K132" s="55">
        <v>0.17</v>
      </c>
      <c r="L132" s="55">
        <v>0.14000000000000001</v>
      </c>
      <c r="M132" s="55">
        <v>0.16</v>
      </c>
      <c r="N132" s="55"/>
    </row>
    <row r="133" spans="1:14">
      <c r="A133" s="55">
        <v>92</v>
      </c>
      <c r="B133" s="55" t="s">
        <v>431</v>
      </c>
      <c r="C133" s="55" t="s">
        <v>19</v>
      </c>
      <c r="D133" s="22">
        <v>26</v>
      </c>
      <c r="E133" s="22">
        <v>8</v>
      </c>
      <c r="F133" s="22">
        <v>193</v>
      </c>
      <c r="G133" s="22">
        <v>241</v>
      </c>
      <c r="H133" s="55">
        <v>225</v>
      </c>
      <c r="I133" s="55">
        <v>-19.920000000000002</v>
      </c>
      <c r="J133" s="55">
        <v>0.15</v>
      </c>
      <c r="K133" s="55">
        <v>0.16</v>
      </c>
      <c r="L133" s="55">
        <v>7.0000000000000007E-2</v>
      </c>
      <c r="M133" s="55">
        <v>0.23</v>
      </c>
      <c r="N133" s="55"/>
    </row>
    <row r="134" spans="1:14">
      <c r="A134" s="55">
        <v>93</v>
      </c>
      <c r="B134" s="55" t="s">
        <v>413</v>
      </c>
      <c r="C134" s="55" t="s">
        <v>19</v>
      </c>
      <c r="D134" s="22">
        <v>21</v>
      </c>
      <c r="E134" s="22">
        <v>43</v>
      </c>
      <c r="F134" s="22">
        <v>189</v>
      </c>
      <c r="G134" s="22">
        <v>366</v>
      </c>
      <c r="H134" s="55">
        <v>-51.16</v>
      </c>
      <c r="I134" s="55">
        <v>-48.36</v>
      </c>
      <c r="J134" s="55">
        <v>0.12</v>
      </c>
      <c r="K134" s="55">
        <v>0.15</v>
      </c>
      <c r="L134" s="55">
        <v>0.35</v>
      </c>
      <c r="M134" s="55">
        <v>0.35</v>
      </c>
      <c r="N134" s="55"/>
    </row>
    <row r="135" spans="1:14">
      <c r="A135" s="55">
        <v>94</v>
      </c>
      <c r="B135" s="55" t="s">
        <v>1037</v>
      </c>
      <c r="C135" s="55" t="s">
        <v>19</v>
      </c>
      <c r="D135" s="22">
        <v>16</v>
      </c>
      <c r="E135" s="22">
        <v>0</v>
      </c>
      <c r="F135" s="22">
        <v>187</v>
      </c>
      <c r="G135" s="22">
        <v>0</v>
      </c>
      <c r="H135" s="55">
        <v>0</v>
      </c>
      <c r="I135" s="55">
        <v>0</v>
      </c>
      <c r="J135" s="55">
        <v>0.09</v>
      </c>
      <c r="K135" s="55">
        <v>0.15</v>
      </c>
      <c r="L135" s="55">
        <v>0</v>
      </c>
      <c r="M135" s="55">
        <v>0</v>
      </c>
      <c r="N135" s="55"/>
    </row>
    <row r="136" spans="1:14">
      <c r="A136" s="55">
        <v>95</v>
      </c>
      <c r="B136" s="55" t="s">
        <v>1094</v>
      </c>
      <c r="C136" s="55" t="s">
        <v>19</v>
      </c>
      <c r="D136" s="22">
        <v>81</v>
      </c>
      <c r="E136" s="22">
        <v>0</v>
      </c>
      <c r="F136" s="22">
        <v>187</v>
      </c>
      <c r="G136" s="22">
        <v>0</v>
      </c>
      <c r="H136" s="55">
        <v>0</v>
      </c>
      <c r="I136" s="55">
        <v>0</v>
      </c>
      <c r="J136" s="55">
        <v>0.45</v>
      </c>
      <c r="K136" s="55">
        <v>0.15</v>
      </c>
      <c r="L136" s="55">
        <v>0</v>
      </c>
      <c r="M136" s="55">
        <v>0</v>
      </c>
      <c r="N136" s="55"/>
    </row>
    <row r="137" spans="1:14">
      <c r="A137" s="55">
        <v>96</v>
      </c>
      <c r="B137" s="55" t="s">
        <v>397</v>
      </c>
      <c r="C137" s="55" t="s">
        <v>20</v>
      </c>
      <c r="D137" s="22">
        <v>56</v>
      </c>
      <c r="E137" s="22">
        <v>27</v>
      </c>
      <c r="F137" s="22">
        <v>175</v>
      </c>
      <c r="G137" s="22">
        <v>320</v>
      </c>
      <c r="H137" s="55">
        <v>107.41</v>
      </c>
      <c r="I137" s="55">
        <v>-45.31</v>
      </c>
      <c r="J137" s="55">
        <v>0.31</v>
      </c>
      <c r="K137" s="55">
        <v>0.14000000000000001</v>
      </c>
      <c r="L137" s="55">
        <v>0.22</v>
      </c>
      <c r="M137" s="55">
        <v>0.3</v>
      </c>
      <c r="N137" s="55"/>
    </row>
    <row r="138" spans="1:14">
      <c r="A138" s="55">
        <v>97</v>
      </c>
      <c r="B138" s="55" t="s">
        <v>1060</v>
      </c>
      <c r="C138" s="55" t="s">
        <v>19</v>
      </c>
      <c r="D138" s="22">
        <v>49</v>
      </c>
      <c r="E138" s="22">
        <v>0</v>
      </c>
      <c r="F138" s="22">
        <v>162</v>
      </c>
      <c r="G138" s="22">
        <v>0</v>
      </c>
      <c r="H138" s="55">
        <v>0</v>
      </c>
      <c r="I138" s="55">
        <v>0</v>
      </c>
      <c r="J138" s="55">
        <v>0.27</v>
      </c>
      <c r="K138" s="55">
        <v>0.13</v>
      </c>
      <c r="L138" s="55">
        <v>0</v>
      </c>
      <c r="M138" s="55">
        <v>0</v>
      </c>
      <c r="N138" s="55"/>
    </row>
    <row r="139" spans="1:14">
      <c r="A139" s="55">
        <v>98</v>
      </c>
      <c r="B139" s="55" t="s">
        <v>432</v>
      </c>
      <c r="C139" s="55" t="s">
        <v>20</v>
      </c>
      <c r="D139" s="22">
        <v>54</v>
      </c>
      <c r="E139" s="22">
        <v>113</v>
      </c>
      <c r="F139" s="22">
        <v>157</v>
      </c>
      <c r="G139" s="22">
        <v>457</v>
      </c>
      <c r="H139" s="55">
        <v>-52.21</v>
      </c>
      <c r="I139" s="55">
        <v>-65.650000000000006</v>
      </c>
      <c r="J139" s="55">
        <v>0.3</v>
      </c>
      <c r="K139" s="55">
        <v>0.13</v>
      </c>
      <c r="L139" s="55">
        <v>0.93</v>
      </c>
      <c r="M139" s="55">
        <v>0.43</v>
      </c>
      <c r="N139" s="55"/>
    </row>
    <row r="140" spans="1:14">
      <c r="A140" s="55">
        <v>99</v>
      </c>
      <c r="B140" s="55" t="s">
        <v>125</v>
      </c>
      <c r="C140" s="55" t="s">
        <v>19</v>
      </c>
      <c r="D140" s="22">
        <v>15</v>
      </c>
      <c r="E140" s="22">
        <v>6</v>
      </c>
      <c r="F140" s="22">
        <v>154</v>
      </c>
      <c r="G140" s="22">
        <v>53</v>
      </c>
      <c r="H140" s="55">
        <v>150</v>
      </c>
      <c r="I140" s="55">
        <v>190.57</v>
      </c>
      <c r="J140" s="55">
        <v>0.08</v>
      </c>
      <c r="K140" s="55">
        <v>0.12</v>
      </c>
      <c r="L140" s="55">
        <v>0.05</v>
      </c>
      <c r="M140" s="55">
        <v>0.05</v>
      </c>
      <c r="N140" s="55"/>
    </row>
    <row r="141" spans="1:14">
      <c r="A141" s="55">
        <v>100</v>
      </c>
      <c r="B141" s="55" t="s">
        <v>611</v>
      </c>
      <c r="C141" s="55" t="s">
        <v>20</v>
      </c>
      <c r="D141" s="22">
        <v>24</v>
      </c>
      <c r="E141" s="22">
        <v>42</v>
      </c>
      <c r="F141" s="22">
        <v>150</v>
      </c>
      <c r="G141" s="22">
        <v>521</v>
      </c>
      <c r="H141" s="55">
        <v>-42.86</v>
      </c>
      <c r="I141" s="55">
        <v>-71.209999999999994</v>
      </c>
      <c r="J141" s="55">
        <v>0.13</v>
      </c>
      <c r="K141" s="55">
        <v>0.12</v>
      </c>
      <c r="L141" s="55">
        <v>0.35</v>
      </c>
      <c r="M141" s="55">
        <v>0.49</v>
      </c>
      <c r="N141" s="55"/>
    </row>
    <row r="142" spans="1:14">
      <c r="A142" s="55">
        <v>101</v>
      </c>
      <c r="B142" s="55" t="s">
        <v>153</v>
      </c>
      <c r="C142" s="55" t="s">
        <v>19</v>
      </c>
      <c r="D142" s="22">
        <v>17</v>
      </c>
      <c r="E142" s="22">
        <v>35</v>
      </c>
      <c r="F142" s="22">
        <v>142</v>
      </c>
      <c r="G142" s="22">
        <v>365</v>
      </c>
      <c r="H142" s="55">
        <v>-51.43</v>
      </c>
      <c r="I142" s="55">
        <v>-61.1</v>
      </c>
      <c r="J142" s="55">
        <v>0.1</v>
      </c>
      <c r="K142" s="55">
        <v>0.11</v>
      </c>
      <c r="L142" s="55">
        <v>0.28999999999999998</v>
      </c>
      <c r="M142" s="55">
        <v>0.35</v>
      </c>
      <c r="N142" s="55"/>
    </row>
    <row r="143" spans="1:14">
      <c r="A143" s="55">
        <v>102</v>
      </c>
      <c r="B143" s="55" t="s">
        <v>147</v>
      </c>
      <c r="C143" s="55" t="s">
        <v>19</v>
      </c>
      <c r="D143" s="22">
        <v>7</v>
      </c>
      <c r="E143" s="22">
        <v>6</v>
      </c>
      <c r="F143" s="22">
        <v>136</v>
      </c>
      <c r="G143" s="22">
        <v>223</v>
      </c>
      <c r="H143" s="55">
        <v>16.670000000000002</v>
      </c>
      <c r="I143" s="55">
        <v>-39.01</v>
      </c>
      <c r="J143" s="55">
        <v>0.04</v>
      </c>
      <c r="K143" s="55">
        <v>0.11</v>
      </c>
      <c r="L143" s="55">
        <v>0.05</v>
      </c>
      <c r="M143" s="55">
        <v>0.21</v>
      </c>
      <c r="N143" s="55"/>
    </row>
    <row r="144" spans="1:14">
      <c r="A144" s="55">
        <v>103</v>
      </c>
      <c r="B144" s="55" t="s">
        <v>988</v>
      </c>
      <c r="C144" s="55" t="s">
        <v>19</v>
      </c>
      <c r="D144" s="22">
        <v>8</v>
      </c>
      <c r="E144" s="22">
        <v>3</v>
      </c>
      <c r="F144" s="22">
        <v>134</v>
      </c>
      <c r="G144" s="22">
        <v>6</v>
      </c>
      <c r="H144" s="55">
        <v>166.67</v>
      </c>
      <c r="I144" s="55">
        <v>2133.33</v>
      </c>
      <c r="J144" s="55">
        <v>0.04</v>
      </c>
      <c r="K144" s="55">
        <v>0.11</v>
      </c>
      <c r="L144" s="55">
        <v>0.02</v>
      </c>
      <c r="M144" s="55">
        <v>0.01</v>
      </c>
      <c r="N144" s="55"/>
    </row>
    <row r="145" spans="1:14">
      <c r="A145" s="55">
        <v>104</v>
      </c>
      <c r="B145" s="55" t="s">
        <v>707</v>
      </c>
      <c r="C145" s="55" t="s">
        <v>20</v>
      </c>
      <c r="D145" s="22">
        <v>13</v>
      </c>
      <c r="E145" s="22">
        <v>0</v>
      </c>
      <c r="F145" s="22">
        <v>133</v>
      </c>
      <c r="G145" s="22">
        <v>3</v>
      </c>
      <c r="H145" s="55">
        <v>0</v>
      </c>
      <c r="I145" s="55">
        <v>4333.33</v>
      </c>
      <c r="J145" s="55">
        <v>7.0000000000000007E-2</v>
      </c>
      <c r="K145" s="55">
        <v>0.11</v>
      </c>
      <c r="L145" s="55">
        <v>0</v>
      </c>
      <c r="M145" s="55">
        <v>0</v>
      </c>
      <c r="N145" s="55"/>
    </row>
    <row r="146" spans="1:14">
      <c r="A146" s="55">
        <v>105</v>
      </c>
      <c r="B146" s="55" t="s">
        <v>79</v>
      </c>
      <c r="C146" s="55" t="s">
        <v>20</v>
      </c>
      <c r="D146" s="22">
        <v>4</v>
      </c>
      <c r="E146" s="22">
        <v>15</v>
      </c>
      <c r="F146" s="22">
        <v>130</v>
      </c>
      <c r="G146" s="22">
        <v>515</v>
      </c>
      <c r="H146" s="55">
        <v>-73.33</v>
      </c>
      <c r="I146" s="55">
        <v>-74.760000000000005</v>
      </c>
      <c r="J146" s="55">
        <v>0.02</v>
      </c>
      <c r="K146" s="55">
        <v>0.1</v>
      </c>
      <c r="L146" s="55">
        <v>0.12</v>
      </c>
      <c r="M146" s="55">
        <v>0.49</v>
      </c>
      <c r="N146" s="55"/>
    </row>
    <row r="147" spans="1:14">
      <c r="A147" s="55">
        <v>106</v>
      </c>
      <c r="B147" s="55" t="s">
        <v>1091</v>
      </c>
      <c r="C147" s="55" t="s">
        <v>19</v>
      </c>
      <c r="D147" s="22">
        <v>6</v>
      </c>
      <c r="E147" s="22">
        <v>0</v>
      </c>
      <c r="F147" s="22">
        <v>128</v>
      </c>
      <c r="G147" s="22">
        <v>0</v>
      </c>
      <c r="H147" s="55">
        <v>0</v>
      </c>
      <c r="I147" s="55">
        <v>0</v>
      </c>
      <c r="J147" s="55">
        <v>0.03</v>
      </c>
      <c r="K147" s="55">
        <v>0.1</v>
      </c>
      <c r="L147" s="55">
        <v>0</v>
      </c>
      <c r="M147" s="55">
        <v>0</v>
      </c>
      <c r="N147" s="55"/>
    </row>
    <row r="148" spans="1:14">
      <c r="A148" s="55">
        <v>107</v>
      </c>
      <c r="B148" s="55" t="s">
        <v>235</v>
      </c>
      <c r="C148" s="55" t="s">
        <v>19</v>
      </c>
      <c r="D148" s="22">
        <v>14</v>
      </c>
      <c r="E148" s="22">
        <v>12</v>
      </c>
      <c r="F148" s="22">
        <v>124</v>
      </c>
      <c r="G148" s="22">
        <v>106</v>
      </c>
      <c r="H148" s="55">
        <v>16.670000000000002</v>
      </c>
      <c r="I148" s="55">
        <v>16.98</v>
      </c>
      <c r="J148" s="55">
        <v>0.08</v>
      </c>
      <c r="K148" s="55">
        <v>0.1</v>
      </c>
      <c r="L148" s="55">
        <v>0.1</v>
      </c>
      <c r="M148" s="55">
        <v>0.1</v>
      </c>
      <c r="N148" s="55"/>
    </row>
    <row r="149" spans="1:14">
      <c r="A149" s="55">
        <v>108</v>
      </c>
      <c r="B149" s="55" t="s">
        <v>1034</v>
      </c>
      <c r="C149" s="55" t="s">
        <v>19</v>
      </c>
      <c r="D149" s="22">
        <v>0</v>
      </c>
      <c r="E149" s="22">
        <v>0</v>
      </c>
      <c r="F149" s="22">
        <v>122</v>
      </c>
      <c r="G149" s="22">
        <v>0</v>
      </c>
      <c r="H149" s="55">
        <v>0</v>
      </c>
      <c r="I149" s="55">
        <v>0</v>
      </c>
      <c r="J149" s="55">
        <v>0</v>
      </c>
      <c r="K149" s="55">
        <v>0.1</v>
      </c>
      <c r="L149" s="55">
        <v>0</v>
      </c>
      <c r="M149" s="55">
        <v>0</v>
      </c>
      <c r="N149" s="55"/>
    </row>
    <row r="150" spans="1:14">
      <c r="A150" s="55">
        <v>109</v>
      </c>
      <c r="B150" s="55" t="s">
        <v>70</v>
      </c>
      <c r="C150" s="55" t="s">
        <v>19</v>
      </c>
      <c r="D150" s="22">
        <v>8</v>
      </c>
      <c r="E150" s="22">
        <v>53</v>
      </c>
      <c r="F150" s="22">
        <v>120</v>
      </c>
      <c r="G150" s="22">
        <v>863</v>
      </c>
      <c r="H150" s="55">
        <v>-84.91</v>
      </c>
      <c r="I150" s="55">
        <v>-86.1</v>
      </c>
      <c r="J150" s="55">
        <v>0.04</v>
      </c>
      <c r="K150" s="55">
        <v>0.1</v>
      </c>
      <c r="L150" s="55">
        <v>0.44</v>
      </c>
      <c r="M150" s="55">
        <v>0.82</v>
      </c>
      <c r="N150" s="55"/>
    </row>
    <row r="151" spans="1:14">
      <c r="A151" s="55">
        <v>110</v>
      </c>
      <c r="B151" s="55" t="s">
        <v>491</v>
      </c>
      <c r="C151" s="55" t="s">
        <v>19</v>
      </c>
      <c r="D151" s="22">
        <v>19</v>
      </c>
      <c r="E151" s="22">
        <v>4</v>
      </c>
      <c r="F151" s="22">
        <v>115</v>
      </c>
      <c r="G151" s="22">
        <v>103</v>
      </c>
      <c r="H151" s="55">
        <v>375</v>
      </c>
      <c r="I151" s="55">
        <v>11.65</v>
      </c>
      <c r="J151" s="55">
        <v>0.11</v>
      </c>
      <c r="K151" s="55">
        <v>0.09</v>
      </c>
      <c r="L151" s="55">
        <v>0.03</v>
      </c>
      <c r="M151" s="55">
        <v>0.1</v>
      </c>
      <c r="N151" s="55"/>
    </row>
    <row r="152" spans="1:14">
      <c r="A152" s="55">
        <v>111</v>
      </c>
      <c r="B152" s="55" t="s">
        <v>412</v>
      </c>
      <c r="C152" s="55" t="s">
        <v>19</v>
      </c>
      <c r="D152" s="22">
        <v>0</v>
      </c>
      <c r="E152" s="22">
        <v>27</v>
      </c>
      <c r="F152" s="22">
        <v>110</v>
      </c>
      <c r="G152" s="22">
        <v>158</v>
      </c>
      <c r="H152" s="55">
        <v>-100</v>
      </c>
      <c r="I152" s="55">
        <v>-30.38</v>
      </c>
      <c r="J152" s="55">
        <v>0</v>
      </c>
      <c r="K152" s="55">
        <v>0.09</v>
      </c>
      <c r="L152" s="55">
        <v>0.22</v>
      </c>
      <c r="M152" s="55">
        <v>0.15</v>
      </c>
      <c r="N152" s="55"/>
    </row>
    <row r="153" spans="1:14">
      <c r="A153" s="55">
        <v>112</v>
      </c>
      <c r="B153" s="55" t="s">
        <v>1056</v>
      </c>
      <c r="C153" s="55" t="s">
        <v>20</v>
      </c>
      <c r="D153" s="22">
        <v>2</v>
      </c>
      <c r="E153" s="22">
        <v>0</v>
      </c>
      <c r="F153" s="22">
        <v>105</v>
      </c>
      <c r="G153" s="22">
        <v>0</v>
      </c>
      <c r="H153" s="55">
        <v>0</v>
      </c>
      <c r="I153" s="55">
        <v>0</v>
      </c>
      <c r="J153" s="55">
        <v>0.01</v>
      </c>
      <c r="K153" s="55">
        <v>0.08</v>
      </c>
      <c r="L153" s="55">
        <v>0</v>
      </c>
      <c r="M153" s="55">
        <v>0</v>
      </c>
      <c r="N153" s="55"/>
    </row>
    <row r="154" spans="1:14">
      <c r="A154" s="55">
        <v>113</v>
      </c>
      <c r="B154" s="55" t="s">
        <v>409</v>
      </c>
      <c r="C154" s="55" t="s">
        <v>19</v>
      </c>
      <c r="D154" s="22">
        <v>2</v>
      </c>
      <c r="E154" s="22">
        <v>37</v>
      </c>
      <c r="F154" s="22">
        <v>100</v>
      </c>
      <c r="G154" s="22">
        <v>438</v>
      </c>
      <c r="H154" s="62">
        <v>-94.59</v>
      </c>
      <c r="I154" s="62">
        <v>-77.17</v>
      </c>
      <c r="J154" s="55">
        <v>0.01</v>
      </c>
      <c r="K154" s="55">
        <v>0.08</v>
      </c>
      <c r="L154" s="55">
        <v>0.3</v>
      </c>
      <c r="M154" s="55">
        <v>0.42</v>
      </c>
      <c r="N154" s="55"/>
    </row>
    <row r="155" spans="1:14">
      <c r="A155" s="55">
        <v>114</v>
      </c>
      <c r="B155" s="55" t="s">
        <v>1134</v>
      </c>
      <c r="C155" s="55" t="s">
        <v>20</v>
      </c>
      <c r="D155" s="22">
        <v>14</v>
      </c>
      <c r="E155" s="22">
        <v>0</v>
      </c>
      <c r="F155" s="22">
        <v>100</v>
      </c>
      <c r="G155" s="22">
        <v>0</v>
      </c>
      <c r="H155" s="55">
        <v>0</v>
      </c>
      <c r="I155" s="55">
        <v>0</v>
      </c>
      <c r="J155" s="55">
        <v>0.08</v>
      </c>
      <c r="K155" s="55">
        <v>0.08</v>
      </c>
      <c r="L155" s="55">
        <v>0</v>
      </c>
      <c r="M155" s="55">
        <v>0</v>
      </c>
      <c r="N155" s="55"/>
    </row>
    <row r="156" spans="1:14">
      <c r="A156" s="55">
        <v>115</v>
      </c>
      <c r="B156" s="55" t="s">
        <v>982</v>
      </c>
      <c r="C156" s="55" t="s">
        <v>20</v>
      </c>
      <c r="D156" s="22">
        <v>6</v>
      </c>
      <c r="E156" s="22">
        <v>2</v>
      </c>
      <c r="F156" s="22">
        <v>99</v>
      </c>
      <c r="G156" s="22">
        <v>14</v>
      </c>
      <c r="H156" s="55">
        <v>200</v>
      </c>
      <c r="I156" s="55">
        <v>607.14</v>
      </c>
      <c r="J156" s="55">
        <v>0.03</v>
      </c>
      <c r="K156" s="55">
        <v>0.08</v>
      </c>
      <c r="L156" s="55">
        <v>0.02</v>
      </c>
      <c r="M156" s="55">
        <v>0.01</v>
      </c>
      <c r="N156" s="55"/>
    </row>
    <row r="157" spans="1:14">
      <c r="A157" s="55">
        <v>116</v>
      </c>
      <c r="B157" s="55" t="s">
        <v>1055</v>
      </c>
      <c r="C157" s="55" t="s">
        <v>19</v>
      </c>
      <c r="D157" s="22">
        <v>37</v>
      </c>
      <c r="E157" s="22">
        <v>0</v>
      </c>
      <c r="F157" s="22">
        <v>98</v>
      </c>
      <c r="G157" s="22">
        <v>0</v>
      </c>
      <c r="H157" s="55">
        <v>0</v>
      </c>
      <c r="I157" s="55">
        <v>0</v>
      </c>
      <c r="J157" s="55">
        <v>0.21</v>
      </c>
      <c r="K157" s="55">
        <v>0.08</v>
      </c>
      <c r="L157" s="55">
        <v>0</v>
      </c>
      <c r="M157" s="55">
        <v>0</v>
      </c>
      <c r="N157" s="55"/>
    </row>
    <row r="158" spans="1:14">
      <c r="A158" s="55">
        <v>117</v>
      </c>
      <c r="B158" s="55" t="s">
        <v>1149</v>
      </c>
      <c r="C158" s="55" t="s">
        <v>19</v>
      </c>
      <c r="D158" s="22">
        <v>14</v>
      </c>
      <c r="E158" s="22">
        <v>0</v>
      </c>
      <c r="F158" s="22">
        <v>89</v>
      </c>
      <c r="G158" s="22">
        <v>0</v>
      </c>
      <c r="H158" s="55">
        <v>0</v>
      </c>
      <c r="I158" s="55">
        <v>0</v>
      </c>
      <c r="J158" s="55">
        <v>0.08</v>
      </c>
      <c r="K158" s="55">
        <v>7.0000000000000007E-2</v>
      </c>
      <c r="L158" s="55">
        <v>0</v>
      </c>
      <c r="M158" s="55">
        <v>0</v>
      </c>
      <c r="N158" s="55"/>
    </row>
    <row r="159" spans="1:14">
      <c r="A159" s="55">
        <v>118</v>
      </c>
      <c r="B159" s="55" t="s">
        <v>638</v>
      </c>
      <c r="C159" s="55" t="s">
        <v>20</v>
      </c>
      <c r="D159" s="22">
        <v>1</v>
      </c>
      <c r="E159" s="22">
        <v>166</v>
      </c>
      <c r="F159" s="22">
        <v>87</v>
      </c>
      <c r="G159" s="22">
        <v>1114</v>
      </c>
      <c r="H159" s="55">
        <v>-99.4</v>
      </c>
      <c r="I159" s="55">
        <v>-92.19</v>
      </c>
      <c r="J159" s="55">
        <v>0.01</v>
      </c>
      <c r="K159" s="55">
        <v>7.0000000000000007E-2</v>
      </c>
      <c r="L159" s="55">
        <v>1.37</v>
      </c>
      <c r="M159" s="55">
        <v>1.06</v>
      </c>
      <c r="N159" s="55"/>
    </row>
    <row r="160" spans="1:14">
      <c r="A160" s="55">
        <v>119</v>
      </c>
      <c r="B160" s="55" t="s">
        <v>418</v>
      </c>
      <c r="C160" s="55" t="s">
        <v>19</v>
      </c>
      <c r="D160" s="22">
        <v>2</v>
      </c>
      <c r="E160" s="22">
        <v>9</v>
      </c>
      <c r="F160" s="22">
        <v>86</v>
      </c>
      <c r="G160" s="22">
        <v>208</v>
      </c>
      <c r="H160" s="55">
        <v>-77.78</v>
      </c>
      <c r="I160" s="55">
        <v>-58.65</v>
      </c>
      <c r="J160" s="55">
        <v>0.01</v>
      </c>
      <c r="K160" s="55">
        <v>7.0000000000000007E-2</v>
      </c>
      <c r="L160" s="55">
        <v>7.0000000000000007E-2</v>
      </c>
      <c r="M160" s="55">
        <v>0.2</v>
      </c>
      <c r="N160" s="55"/>
    </row>
    <row r="161" spans="1:14">
      <c r="A161" s="55">
        <v>120</v>
      </c>
      <c r="B161" s="55" t="s">
        <v>594</v>
      </c>
      <c r="C161" s="55" t="s">
        <v>19</v>
      </c>
      <c r="D161" s="22">
        <v>17</v>
      </c>
      <c r="E161" s="22">
        <v>3</v>
      </c>
      <c r="F161" s="22">
        <v>82</v>
      </c>
      <c r="G161" s="22">
        <v>158</v>
      </c>
      <c r="H161" s="55">
        <v>466.67</v>
      </c>
      <c r="I161" s="55">
        <v>-48.1</v>
      </c>
      <c r="J161" s="55">
        <v>0.1</v>
      </c>
      <c r="K161" s="55">
        <v>7.0000000000000007E-2</v>
      </c>
      <c r="L161" s="55">
        <v>0.02</v>
      </c>
      <c r="M161" s="55">
        <v>0.15</v>
      </c>
      <c r="N161" s="55"/>
    </row>
    <row r="162" spans="1:14">
      <c r="A162" s="55">
        <v>121</v>
      </c>
      <c r="B162" s="55" t="s">
        <v>646</v>
      </c>
      <c r="C162" s="55" t="s">
        <v>19</v>
      </c>
      <c r="D162" s="22">
        <v>0</v>
      </c>
      <c r="E162" s="22">
        <v>8</v>
      </c>
      <c r="F162" s="22">
        <v>82</v>
      </c>
      <c r="G162" s="22">
        <v>99</v>
      </c>
      <c r="H162" s="55">
        <v>-100</v>
      </c>
      <c r="I162" s="55">
        <v>-17.170000000000002</v>
      </c>
      <c r="J162" s="55">
        <v>0</v>
      </c>
      <c r="K162" s="55">
        <v>7.0000000000000007E-2</v>
      </c>
      <c r="L162" s="55">
        <v>7.0000000000000007E-2</v>
      </c>
      <c r="M162" s="55">
        <v>0.09</v>
      </c>
      <c r="N162" s="55"/>
    </row>
    <row r="163" spans="1:14">
      <c r="A163" s="55">
        <v>122</v>
      </c>
      <c r="B163" s="55" t="s">
        <v>490</v>
      </c>
      <c r="C163" s="55" t="s">
        <v>19</v>
      </c>
      <c r="D163" s="22">
        <v>12</v>
      </c>
      <c r="E163" s="22">
        <v>0</v>
      </c>
      <c r="F163" s="22">
        <v>82</v>
      </c>
      <c r="G163" s="22">
        <v>43</v>
      </c>
      <c r="H163" s="55">
        <v>0</v>
      </c>
      <c r="I163" s="55">
        <v>90.7</v>
      </c>
      <c r="J163" s="55">
        <v>7.0000000000000007E-2</v>
      </c>
      <c r="K163" s="55">
        <v>7.0000000000000007E-2</v>
      </c>
      <c r="L163" s="55">
        <v>0</v>
      </c>
      <c r="M163" s="55">
        <v>0.04</v>
      </c>
      <c r="N163" s="55"/>
    </row>
    <row r="164" spans="1:14">
      <c r="A164" s="55">
        <v>123</v>
      </c>
      <c r="B164" s="55" t="s">
        <v>660</v>
      </c>
      <c r="C164" s="55" t="s">
        <v>20</v>
      </c>
      <c r="D164" s="22">
        <v>5</v>
      </c>
      <c r="E164" s="22">
        <v>22</v>
      </c>
      <c r="F164" s="22">
        <v>79</v>
      </c>
      <c r="G164" s="22">
        <v>208</v>
      </c>
      <c r="H164" s="55">
        <v>-77.27</v>
      </c>
      <c r="I164" s="55">
        <v>-62.02</v>
      </c>
      <c r="J164" s="55">
        <v>0.03</v>
      </c>
      <c r="K164" s="55">
        <v>0.06</v>
      </c>
      <c r="L164" s="55">
        <v>0.18</v>
      </c>
      <c r="M164" s="55">
        <v>0.2</v>
      </c>
      <c r="N164" s="55"/>
    </row>
    <row r="165" spans="1:14">
      <c r="A165" s="55">
        <v>124</v>
      </c>
      <c r="B165" s="55" t="s">
        <v>1059</v>
      </c>
      <c r="C165" s="55" t="s">
        <v>20</v>
      </c>
      <c r="D165" s="22">
        <v>5</v>
      </c>
      <c r="E165" s="22">
        <v>0</v>
      </c>
      <c r="F165" s="22">
        <v>75</v>
      </c>
      <c r="G165" s="22">
        <v>0</v>
      </c>
      <c r="H165" s="55">
        <v>0</v>
      </c>
      <c r="I165" s="55">
        <v>0</v>
      </c>
      <c r="J165" s="55">
        <v>0.03</v>
      </c>
      <c r="K165" s="55">
        <v>0.06</v>
      </c>
      <c r="L165" s="55">
        <v>0</v>
      </c>
      <c r="M165" s="55">
        <v>0</v>
      </c>
      <c r="N165" s="55"/>
    </row>
    <row r="166" spans="1:14">
      <c r="A166" s="55">
        <v>125</v>
      </c>
      <c r="B166" s="55" t="s">
        <v>1038</v>
      </c>
      <c r="C166" s="55" t="s">
        <v>20</v>
      </c>
      <c r="D166" s="22">
        <v>5</v>
      </c>
      <c r="E166" s="22">
        <v>0</v>
      </c>
      <c r="F166" s="22">
        <v>74</v>
      </c>
      <c r="G166" s="22">
        <v>0</v>
      </c>
      <c r="H166" s="55">
        <v>0</v>
      </c>
      <c r="I166" s="55">
        <v>0</v>
      </c>
      <c r="J166" s="55">
        <v>0.03</v>
      </c>
      <c r="K166" s="55">
        <v>0.06</v>
      </c>
      <c r="L166" s="55">
        <v>0</v>
      </c>
      <c r="M166" s="55">
        <v>0</v>
      </c>
      <c r="N166" s="55"/>
    </row>
    <row r="167" spans="1:14">
      <c r="A167" s="55">
        <v>126</v>
      </c>
      <c r="B167" s="55" t="s">
        <v>596</v>
      </c>
      <c r="C167" s="55" t="s">
        <v>19</v>
      </c>
      <c r="D167" s="22">
        <v>5</v>
      </c>
      <c r="E167" s="22">
        <v>1</v>
      </c>
      <c r="F167" s="22">
        <v>73</v>
      </c>
      <c r="G167" s="22">
        <v>70</v>
      </c>
      <c r="H167" s="55">
        <v>400</v>
      </c>
      <c r="I167" s="55">
        <v>4.29</v>
      </c>
      <c r="J167" s="55">
        <v>0.03</v>
      </c>
      <c r="K167" s="55">
        <v>0.06</v>
      </c>
      <c r="L167" s="55">
        <v>0.01</v>
      </c>
      <c r="M167" s="55">
        <v>7.0000000000000007E-2</v>
      </c>
      <c r="N167" s="55"/>
    </row>
    <row r="168" spans="1:14">
      <c r="A168" s="55">
        <v>127</v>
      </c>
      <c r="B168" s="55" t="s">
        <v>1092</v>
      </c>
      <c r="C168" s="55" t="s">
        <v>20</v>
      </c>
      <c r="D168" s="22">
        <v>21</v>
      </c>
      <c r="E168" s="22">
        <v>4</v>
      </c>
      <c r="F168" s="22">
        <v>69</v>
      </c>
      <c r="G168" s="22">
        <v>45</v>
      </c>
      <c r="H168" s="55">
        <v>425</v>
      </c>
      <c r="I168" s="55">
        <v>53.33</v>
      </c>
      <c r="J168" s="55">
        <v>0.12</v>
      </c>
      <c r="K168" s="55">
        <v>0.06</v>
      </c>
      <c r="L168" s="55">
        <v>0.03</v>
      </c>
      <c r="M168" s="55">
        <v>0.04</v>
      </c>
      <c r="N168" s="55"/>
    </row>
    <row r="169" spans="1:14">
      <c r="A169" s="55">
        <v>128</v>
      </c>
      <c r="B169" s="55" t="s">
        <v>238</v>
      </c>
      <c r="C169" s="55" t="s">
        <v>19</v>
      </c>
      <c r="D169" s="22">
        <v>0</v>
      </c>
      <c r="E169" s="22">
        <v>1</v>
      </c>
      <c r="F169" s="22">
        <v>68</v>
      </c>
      <c r="G169" s="22">
        <v>30</v>
      </c>
      <c r="H169" s="55">
        <v>-100</v>
      </c>
      <c r="I169" s="55">
        <v>126.67</v>
      </c>
      <c r="J169" s="55">
        <v>0</v>
      </c>
      <c r="K169" s="55">
        <v>0.05</v>
      </c>
      <c r="L169" s="55">
        <v>0.01</v>
      </c>
      <c r="M169" s="55">
        <v>0.03</v>
      </c>
      <c r="N169" s="55"/>
    </row>
    <row r="170" spans="1:14">
      <c r="A170" s="55">
        <v>129</v>
      </c>
      <c r="B170" s="55" t="s">
        <v>653</v>
      </c>
      <c r="C170" s="55" t="s">
        <v>20</v>
      </c>
      <c r="D170" s="22">
        <v>9</v>
      </c>
      <c r="E170" s="22">
        <v>7</v>
      </c>
      <c r="F170" s="22">
        <v>65</v>
      </c>
      <c r="G170" s="22">
        <v>80</v>
      </c>
      <c r="H170" s="55">
        <v>28.57</v>
      </c>
      <c r="I170" s="55">
        <v>-18.75</v>
      </c>
      <c r="J170" s="55">
        <v>0.05</v>
      </c>
      <c r="K170" s="55">
        <v>0.05</v>
      </c>
      <c r="L170" s="55">
        <v>0.06</v>
      </c>
      <c r="M170" s="55">
        <v>0.08</v>
      </c>
      <c r="N170" s="55"/>
    </row>
    <row r="171" spans="1:14">
      <c r="A171" s="55">
        <v>130</v>
      </c>
      <c r="B171" s="55" t="s">
        <v>1078</v>
      </c>
      <c r="C171" s="55" t="s">
        <v>19</v>
      </c>
      <c r="D171" s="22">
        <v>19</v>
      </c>
      <c r="E171" s="22">
        <v>0</v>
      </c>
      <c r="F171" s="22">
        <v>65</v>
      </c>
      <c r="G171" s="22">
        <v>0</v>
      </c>
      <c r="H171" s="55">
        <v>0</v>
      </c>
      <c r="I171" s="55">
        <v>0</v>
      </c>
      <c r="J171" s="55">
        <v>0.11</v>
      </c>
      <c r="K171" s="55">
        <v>0.05</v>
      </c>
      <c r="L171" s="55">
        <v>0</v>
      </c>
      <c r="M171" s="55">
        <v>0</v>
      </c>
      <c r="N171" s="55"/>
    </row>
    <row r="172" spans="1:14">
      <c r="A172" s="55">
        <v>131</v>
      </c>
      <c r="B172" s="55" t="s">
        <v>1011</v>
      </c>
      <c r="C172" s="55" t="s">
        <v>20</v>
      </c>
      <c r="D172" s="22">
        <v>1</v>
      </c>
      <c r="E172" s="22">
        <v>0</v>
      </c>
      <c r="F172" s="22">
        <v>64</v>
      </c>
      <c r="G172" s="22">
        <v>0</v>
      </c>
      <c r="H172" s="55">
        <v>0</v>
      </c>
      <c r="I172" s="55">
        <v>0</v>
      </c>
      <c r="J172" s="55">
        <v>0.01</v>
      </c>
      <c r="K172" s="55">
        <v>0.05</v>
      </c>
      <c r="L172" s="55">
        <v>0</v>
      </c>
      <c r="M172" s="55">
        <v>0</v>
      </c>
      <c r="N172" s="55"/>
    </row>
    <row r="173" spans="1:14">
      <c r="A173" s="55">
        <v>132</v>
      </c>
      <c r="B173" s="55" t="s">
        <v>1156</v>
      </c>
      <c r="C173" s="55" t="s">
        <v>20</v>
      </c>
      <c r="D173" s="22">
        <v>4</v>
      </c>
      <c r="E173" s="22">
        <v>0</v>
      </c>
      <c r="F173" s="22">
        <v>62</v>
      </c>
      <c r="G173" s="22">
        <v>0</v>
      </c>
      <c r="H173" s="55">
        <v>0</v>
      </c>
      <c r="I173" s="55">
        <v>0</v>
      </c>
      <c r="J173" s="55">
        <v>0.02</v>
      </c>
      <c r="K173" s="55">
        <v>0.05</v>
      </c>
      <c r="L173" s="55">
        <v>0</v>
      </c>
      <c r="M173" s="55">
        <v>0</v>
      </c>
      <c r="N173" s="55"/>
    </row>
    <row r="174" spans="1:14">
      <c r="A174" s="55">
        <v>133</v>
      </c>
      <c r="B174" s="55" t="s">
        <v>427</v>
      </c>
      <c r="C174" s="55" t="s">
        <v>19</v>
      </c>
      <c r="D174" s="22">
        <v>4</v>
      </c>
      <c r="E174" s="22">
        <v>3</v>
      </c>
      <c r="F174" s="22">
        <v>61</v>
      </c>
      <c r="G174" s="22">
        <v>73</v>
      </c>
      <c r="H174" s="55">
        <v>33.33</v>
      </c>
      <c r="I174" s="55">
        <v>-16.440000000000001</v>
      </c>
      <c r="J174" s="55">
        <v>0.02</v>
      </c>
      <c r="K174" s="55">
        <v>0.05</v>
      </c>
      <c r="L174" s="55">
        <v>0.02</v>
      </c>
      <c r="M174" s="55">
        <v>7.0000000000000007E-2</v>
      </c>
      <c r="N174" s="55"/>
    </row>
    <row r="175" spans="1:14">
      <c r="A175" s="55">
        <v>134</v>
      </c>
      <c r="B175" s="55" t="s">
        <v>1079</v>
      </c>
      <c r="C175" s="55" t="s">
        <v>20</v>
      </c>
      <c r="D175" s="22">
        <v>8</v>
      </c>
      <c r="E175" s="22">
        <v>0</v>
      </c>
      <c r="F175" s="22">
        <v>58</v>
      </c>
      <c r="G175" s="22">
        <v>0</v>
      </c>
      <c r="H175" s="55">
        <v>0</v>
      </c>
      <c r="I175" s="55">
        <v>0</v>
      </c>
      <c r="J175" s="55">
        <v>0.04</v>
      </c>
      <c r="K175" s="55">
        <v>0.05</v>
      </c>
      <c r="L175" s="55">
        <v>0</v>
      </c>
      <c r="M175" s="55">
        <v>0</v>
      </c>
      <c r="N175" s="55"/>
    </row>
    <row r="176" spans="1:14">
      <c r="A176" s="55">
        <v>135</v>
      </c>
      <c r="B176" s="55" t="s">
        <v>573</v>
      </c>
      <c r="C176" s="55" t="s">
        <v>20</v>
      </c>
      <c r="D176" s="22">
        <v>24</v>
      </c>
      <c r="E176" s="22">
        <v>0</v>
      </c>
      <c r="F176" s="22">
        <v>57</v>
      </c>
      <c r="G176" s="22">
        <v>27</v>
      </c>
      <c r="H176" s="55">
        <v>0</v>
      </c>
      <c r="I176" s="55">
        <v>111.11</v>
      </c>
      <c r="J176" s="55">
        <v>0.13</v>
      </c>
      <c r="K176" s="55">
        <v>0.05</v>
      </c>
      <c r="L176" s="55">
        <v>0</v>
      </c>
      <c r="M176" s="55">
        <v>0.03</v>
      </c>
      <c r="N176" s="55"/>
    </row>
    <row r="177" spans="1:14">
      <c r="A177" s="55">
        <v>136</v>
      </c>
      <c r="B177" s="55" t="s">
        <v>1024</v>
      </c>
      <c r="C177" s="55" t="s">
        <v>20</v>
      </c>
      <c r="D177" s="22">
        <v>1</v>
      </c>
      <c r="E177" s="22">
        <v>0</v>
      </c>
      <c r="F177" s="22">
        <v>57</v>
      </c>
      <c r="G177" s="22">
        <v>0</v>
      </c>
      <c r="H177" s="62">
        <v>0</v>
      </c>
      <c r="I177" s="62">
        <v>0</v>
      </c>
      <c r="J177" s="55">
        <v>0.01</v>
      </c>
      <c r="K177" s="55">
        <v>0.05</v>
      </c>
      <c r="L177" s="55">
        <v>0</v>
      </c>
      <c r="M177" s="55">
        <v>0</v>
      </c>
      <c r="N177" s="55"/>
    </row>
    <row r="178" spans="1:14">
      <c r="A178" s="55">
        <v>137</v>
      </c>
      <c r="B178" s="55" t="s">
        <v>428</v>
      </c>
      <c r="C178" s="55" t="s">
        <v>19</v>
      </c>
      <c r="D178" s="22">
        <v>9</v>
      </c>
      <c r="E178" s="22">
        <v>4</v>
      </c>
      <c r="F178" s="22">
        <v>56</v>
      </c>
      <c r="G178" s="22">
        <v>67</v>
      </c>
      <c r="H178" s="55">
        <v>125</v>
      </c>
      <c r="I178" s="55">
        <v>-16.420000000000002</v>
      </c>
      <c r="J178" s="55">
        <v>0.05</v>
      </c>
      <c r="K178" s="55">
        <v>0.05</v>
      </c>
      <c r="L178" s="55">
        <v>0.03</v>
      </c>
      <c r="M178" s="55">
        <v>0.06</v>
      </c>
      <c r="N178" s="55"/>
    </row>
    <row r="179" spans="1:14">
      <c r="A179" s="55">
        <v>138</v>
      </c>
      <c r="B179" s="55" t="s">
        <v>1130</v>
      </c>
      <c r="C179" s="55" t="s">
        <v>19</v>
      </c>
      <c r="D179" s="22">
        <v>2</v>
      </c>
      <c r="E179" s="22">
        <v>0</v>
      </c>
      <c r="F179" s="22">
        <v>52</v>
      </c>
      <c r="G179" s="22">
        <v>0</v>
      </c>
      <c r="H179" s="55">
        <v>0</v>
      </c>
      <c r="I179" s="55">
        <v>0</v>
      </c>
      <c r="J179" s="55">
        <v>0.01</v>
      </c>
      <c r="K179" s="55">
        <v>0.04</v>
      </c>
      <c r="L179" s="55">
        <v>0</v>
      </c>
      <c r="M179" s="55">
        <v>0</v>
      </c>
      <c r="N179" s="55"/>
    </row>
    <row r="180" spans="1:14">
      <c r="A180" s="55">
        <v>139</v>
      </c>
      <c r="B180" s="55" t="s">
        <v>550</v>
      </c>
      <c r="C180" s="55" t="s">
        <v>19</v>
      </c>
      <c r="D180" s="22">
        <v>1</v>
      </c>
      <c r="E180" s="22">
        <v>8</v>
      </c>
      <c r="F180" s="22">
        <v>51</v>
      </c>
      <c r="G180" s="22">
        <v>125</v>
      </c>
      <c r="H180" s="62">
        <v>-87.5</v>
      </c>
      <c r="I180" s="62">
        <v>-59.2</v>
      </c>
      <c r="J180" s="55">
        <v>0.01</v>
      </c>
      <c r="K180" s="55">
        <v>0.04</v>
      </c>
      <c r="L180" s="55">
        <v>7.0000000000000007E-2</v>
      </c>
      <c r="M180" s="55">
        <v>0.12</v>
      </c>
      <c r="N180" s="55"/>
    </row>
    <row r="181" spans="1:14">
      <c r="A181" s="55">
        <v>140</v>
      </c>
      <c r="B181" s="55" t="s">
        <v>609</v>
      </c>
      <c r="C181" s="55" t="s">
        <v>19</v>
      </c>
      <c r="D181" s="22">
        <v>3</v>
      </c>
      <c r="E181" s="22">
        <v>6</v>
      </c>
      <c r="F181" s="22">
        <v>51</v>
      </c>
      <c r="G181" s="22">
        <v>54</v>
      </c>
      <c r="H181" s="55">
        <v>-50</v>
      </c>
      <c r="I181" s="55">
        <v>-5.56</v>
      </c>
      <c r="J181" s="55">
        <v>0.02</v>
      </c>
      <c r="K181" s="55">
        <v>0.04</v>
      </c>
      <c r="L181" s="55">
        <v>0.05</v>
      </c>
      <c r="M181" s="55">
        <v>0.05</v>
      </c>
      <c r="N181" s="55"/>
    </row>
    <row r="182" spans="1:14">
      <c r="A182" s="55">
        <v>141</v>
      </c>
      <c r="B182" s="55" t="s">
        <v>190</v>
      </c>
      <c r="C182" s="55" t="s">
        <v>19</v>
      </c>
      <c r="D182" s="22">
        <v>5</v>
      </c>
      <c r="E182" s="22">
        <v>0</v>
      </c>
      <c r="F182" s="22">
        <v>51</v>
      </c>
      <c r="G182" s="22">
        <v>0</v>
      </c>
      <c r="H182" s="55">
        <v>0</v>
      </c>
      <c r="I182" s="55">
        <v>0</v>
      </c>
      <c r="J182" s="55">
        <v>0.03</v>
      </c>
      <c r="K182" s="55">
        <v>0.04</v>
      </c>
      <c r="L182" s="55">
        <v>0</v>
      </c>
      <c r="M182" s="55">
        <v>0</v>
      </c>
      <c r="N182" s="55"/>
    </row>
    <row r="183" spans="1:14">
      <c r="A183" s="55">
        <v>142</v>
      </c>
      <c r="B183" s="55" t="s">
        <v>556</v>
      </c>
      <c r="C183" s="55" t="s">
        <v>20</v>
      </c>
      <c r="D183" s="22">
        <v>4</v>
      </c>
      <c r="E183" s="22">
        <v>1</v>
      </c>
      <c r="F183" s="22">
        <v>48</v>
      </c>
      <c r="G183" s="22">
        <v>124</v>
      </c>
      <c r="H183" s="55">
        <v>300</v>
      </c>
      <c r="I183" s="55">
        <v>-61.29</v>
      </c>
      <c r="J183" s="55">
        <v>0.02</v>
      </c>
      <c r="K183" s="55">
        <v>0.04</v>
      </c>
      <c r="L183" s="55">
        <v>0.01</v>
      </c>
      <c r="M183" s="55">
        <v>0.12</v>
      </c>
      <c r="N183" s="55"/>
    </row>
    <row r="184" spans="1:14">
      <c r="A184" s="55">
        <v>143</v>
      </c>
      <c r="B184" s="55" t="s">
        <v>437</v>
      </c>
      <c r="C184" s="55" t="s">
        <v>20</v>
      </c>
      <c r="D184" s="22">
        <v>11</v>
      </c>
      <c r="E184" s="22">
        <v>1</v>
      </c>
      <c r="F184" s="22">
        <v>46</v>
      </c>
      <c r="G184" s="22">
        <v>21</v>
      </c>
      <c r="H184" s="55">
        <v>1000</v>
      </c>
      <c r="I184" s="55">
        <v>119.05</v>
      </c>
      <c r="J184" s="55">
        <v>0.06</v>
      </c>
      <c r="K184" s="55">
        <v>0.04</v>
      </c>
      <c r="L184" s="55">
        <v>0.01</v>
      </c>
      <c r="M184" s="55">
        <v>0.02</v>
      </c>
      <c r="N184" s="55"/>
    </row>
    <row r="185" spans="1:14">
      <c r="A185" s="55">
        <v>144</v>
      </c>
      <c r="B185" s="55" t="s">
        <v>435</v>
      </c>
      <c r="C185" s="55" t="s">
        <v>19</v>
      </c>
      <c r="D185" s="22">
        <v>4</v>
      </c>
      <c r="E185" s="22">
        <v>0</v>
      </c>
      <c r="F185" s="22">
        <v>45</v>
      </c>
      <c r="G185" s="22">
        <v>23</v>
      </c>
      <c r="H185" s="55">
        <v>0</v>
      </c>
      <c r="I185" s="55">
        <v>95.65</v>
      </c>
      <c r="J185" s="55">
        <v>0.02</v>
      </c>
      <c r="K185" s="55">
        <v>0.04</v>
      </c>
      <c r="L185" s="55">
        <v>0</v>
      </c>
      <c r="M185" s="55">
        <v>0.02</v>
      </c>
      <c r="N185" s="55"/>
    </row>
    <row r="186" spans="1:14">
      <c r="A186" s="55">
        <v>145</v>
      </c>
      <c r="B186" s="55" t="s">
        <v>647</v>
      </c>
      <c r="C186" s="55" t="s">
        <v>20</v>
      </c>
      <c r="D186" s="22">
        <v>5</v>
      </c>
      <c r="E186" s="22">
        <v>5</v>
      </c>
      <c r="F186" s="22">
        <v>43</v>
      </c>
      <c r="G186" s="22">
        <v>45</v>
      </c>
      <c r="H186" s="55">
        <v>0</v>
      </c>
      <c r="I186" s="55">
        <v>-4.4400000000000004</v>
      </c>
      <c r="J186" s="55">
        <v>0.03</v>
      </c>
      <c r="K186" s="55">
        <v>0.03</v>
      </c>
      <c r="L186" s="55">
        <v>0.04</v>
      </c>
      <c r="M186" s="55">
        <v>0.04</v>
      </c>
      <c r="N186" s="55"/>
    </row>
    <row r="187" spans="1:14">
      <c r="A187" s="55">
        <v>146</v>
      </c>
      <c r="B187" s="55" t="s">
        <v>1263</v>
      </c>
      <c r="C187" s="55" t="s">
        <v>20</v>
      </c>
      <c r="D187" s="22">
        <v>41</v>
      </c>
      <c r="E187" s="22">
        <v>0</v>
      </c>
      <c r="F187" s="22">
        <v>41</v>
      </c>
      <c r="G187" s="22">
        <v>0</v>
      </c>
      <c r="H187" s="55">
        <v>0</v>
      </c>
      <c r="I187" s="55">
        <v>0</v>
      </c>
      <c r="J187" s="55">
        <v>0.23</v>
      </c>
      <c r="K187" s="55">
        <v>0.03</v>
      </c>
      <c r="L187" s="55">
        <v>0</v>
      </c>
      <c r="M187" s="55">
        <v>0</v>
      </c>
      <c r="N187" s="55"/>
    </row>
    <row r="188" spans="1:14">
      <c r="A188" s="55">
        <v>147</v>
      </c>
      <c r="B188" s="55" t="s">
        <v>644</v>
      </c>
      <c r="C188" s="55" t="s">
        <v>20</v>
      </c>
      <c r="D188" s="22">
        <v>9</v>
      </c>
      <c r="E188" s="22">
        <v>7</v>
      </c>
      <c r="F188" s="22">
        <v>40</v>
      </c>
      <c r="G188" s="22">
        <v>77</v>
      </c>
      <c r="H188" s="55">
        <v>28.57</v>
      </c>
      <c r="I188" s="55">
        <v>-48.05</v>
      </c>
      <c r="J188" s="55">
        <v>0.05</v>
      </c>
      <c r="K188" s="55">
        <v>0.03</v>
      </c>
      <c r="L188" s="55">
        <v>0.06</v>
      </c>
      <c r="M188" s="55">
        <v>7.0000000000000007E-2</v>
      </c>
      <c r="N188" s="55"/>
    </row>
    <row r="189" spans="1:14">
      <c r="A189" s="55">
        <v>148</v>
      </c>
      <c r="B189" s="55" t="s">
        <v>495</v>
      </c>
      <c r="C189" s="55" t="s">
        <v>20</v>
      </c>
      <c r="D189" s="22">
        <v>0</v>
      </c>
      <c r="E189" s="22">
        <v>3</v>
      </c>
      <c r="F189" s="22">
        <v>39</v>
      </c>
      <c r="G189" s="22">
        <v>80</v>
      </c>
      <c r="H189" s="55">
        <v>-100</v>
      </c>
      <c r="I189" s="55">
        <v>-51.25</v>
      </c>
      <c r="J189" s="55">
        <v>0</v>
      </c>
      <c r="K189" s="55">
        <v>0.03</v>
      </c>
      <c r="L189" s="55">
        <v>0.02</v>
      </c>
      <c r="M189" s="55">
        <v>0.08</v>
      </c>
      <c r="N189" s="55"/>
    </row>
    <row r="190" spans="1:14">
      <c r="A190" s="55">
        <v>149</v>
      </c>
      <c r="B190" s="55" t="s">
        <v>1153</v>
      </c>
      <c r="C190" s="55" t="s">
        <v>20</v>
      </c>
      <c r="D190" s="22">
        <v>11</v>
      </c>
      <c r="E190" s="22">
        <v>0</v>
      </c>
      <c r="F190" s="22">
        <v>38</v>
      </c>
      <c r="G190" s="22">
        <v>3</v>
      </c>
      <c r="H190" s="55">
        <v>0</v>
      </c>
      <c r="I190" s="55">
        <v>1166.67</v>
      </c>
      <c r="J190" s="55">
        <v>0.06</v>
      </c>
      <c r="K190" s="55">
        <v>0.03</v>
      </c>
      <c r="L190" s="55">
        <v>0</v>
      </c>
      <c r="M190" s="55">
        <v>0</v>
      </c>
      <c r="N190" s="55"/>
    </row>
    <row r="191" spans="1:14">
      <c r="A191" s="55">
        <v>150</v>
      </c>
      <c r="B191" s="55" t="s">
        <v>1076</v>
      </c>
      <c r="C191" s="55" t="s">
        <v>20</v>
      </c>
      <c r="D191" s="22">
        <v>3</v>
      </c>
      <c r="E191" s="22">
        <v>0</v>
      </c>
      <c r="F191" s="22">
        <v>38</v>
      </c>
      <c r="G191" s="22">
        <v>0</v>
      </c>
      <c r="H191" s="55">
        <v>0</v>
      </c>
      <c r="I191" s="55">
        <v>0</v>
      </c>
      <c r="J191" s="55">
        <v>0.02</v>
      </c>
      <c r="K191" s="55">
        <v>0.03</v>
      </c>
      <c r="L191" s="55">
        <v>0</v>
      </c>
      <c r="M191" s="55">
        <v>0</v>
      </c>
      <c r="N191" s="55"/>
    </row>
    <row r="192" spans="1:14">
      <c r="A192" s="55">
        <v>151</v>
      </c>
      <c r="B192" s="55" t="s">
        <v>417</v>
      </c>
      <c r="C192" s="55" t="s">
        <v>19</v>
      </c>
      <c r="D192" s="22">
        <v>7</v>
      </c>
      <c r="E192" s="22">
        <v>3</v>
      </c>
      <c r="F192" s="22">
        <v>36</v>
      </c>
      <c r="G192" s="22">
        <v>55</v>
      </c>
      <c r="H192" s="55">
        <v>133.33000000000001</v>
      </c>
      <c r="I192" s="55">
        <v>-34.549999999999997</v>
      </c>
      <c r="J192" s="55">
        <v>0.04</v>
      </c>
      <c r="K192" s="55">
        <v>0.03</v>
      </c>
      <c r="L192" s="55">
        <v>0.02</v>
      </c>
      <c r="M192" s="55">
        <v>0.05</v>
      </c>
      <c r="N192" s="55"/>
    </row>
    <row r="193" spans="1:14">
      <c r="A193" s="55">
        <v>152</v>
      </c>
      <c r="B193" s="55" t="s">
        <v>426</v>
      </c>
      <c r="C193" s="55" t="s">
        <v>19</v>
      </c>
      <c r="D193" s="22">
        <v>0</v>
      </c>
      <c r="E193" s="22">
        <v>18</v>
      </c>
      <c r="F193" s="22">
        <v>35</v>
      </c>
      <c r="G193" s="22">
        <v>76</v>
      </c>
      <c r="H193" s="55">
        <v>-100</v>
      </c>
      <c r="I193" s="55">
        <v>-53.95</v>
      </c>
      <c r="J193" s="55">
        <v>0</v>
      </c>
      <c r="K193" s="55">
        <v>0.03</v>
      </c>
      <c r="L193" s="55">
        <v>0.15</v>
      </c>
      <c r="M193" s="55">
        <v>7.0000000000000007E-2</v>
      </c>
      <c r="N193" s="55"/>
    </row>
    <row r="194" spans="1:14">
      <c r="A194" s="55">
        <v>153</v>
      </c>
      <c r="B194" s="55" t="s">
        <v>704</v>
      </c>
      <c r="C194" s="55" t="s">
        <v>20</v>
      </c>
      <c r="D194" s="22">
        <v>0</v>
      </c>
      <c r="E194" s="22">
        <v>9</v>
      </c>
      <c r="F194" s="22">
        <v>35</v>
      </c>
      <c r="G194" s="22">
        <v>16</v>
      </c>
      <c r="H194" s="55">
        <v>-100</v>
      </c>
      <c r="I194" s="55">
        <v>118.75</v>
      </c>
      <c r="J194" s="55">
        <v>0</v>
      </c>
      <c r="K194" s="55">
        <v>0.03</v>
      </c>
      <c r="L194" s="55">
        <v>7.0000000000000007E-2</v>
      </c>
      <c r="M194" s="55">
        <v>0.02</v>
      </c>
      <c r="N194" s="55"/>
    </row>
    <row r="195" spans="1:14">
      <c r="A195" s="55">
        <v>154</v>
      </c>
      <c r="B195" s="55" t="s">
        <v>1224</v>
      </c>
      <c r="C195" s="55" t="s">
        <v>19</v>
      </c>
      <c r="D195" s="22">
        <v>14</v>
      </c>
      <c r="E195" s="22">
        <v>0</v>
      </c>
      <c r="F195" s="22">
        <v>35</v>
      </c>
      <c r="G195" s="22">
        <v>0</v>
      </c>
      <c r="H195" s="55">
        <v>0</v>
      </c>
      <c r="I195" s="55">
        <v>0</v>
      </c>
      <c r="J195" s="55">
        <v>0.08</v>
      </c>
      <c r="K195" s="55">
        <v>0.03</v>
      </c>
      <c r="L195" s="55">
        <v>0</v>
      </c>
      <c r="M195" s="55">
        <v>0</v>
      </c>
      <c r="N195" s="55"/>
    </row>
    <row r="196" spans="1:14">
      <c r="A196" s="55">
        <v>155</v>
      </c>
      <c r="B196" s="55" t="s">
        <v>498</v>
      </c>
      <c r="C196" s="55" t="s">
        <v>20</v>
      </c>
      <c r="D196" s="22">
        <v>0</v>
      </c>
      <c r="E196" s="22">
        <v>5</v>
      </c>
      <c r="F196" s="22">
        <v>34</v>
      </c>
      <c r="G196" s="22">
        <v>63</v>
      </c>
      <c r="H196" s="62">
        <v>-100</v>
      </c>
      <c r="I196" s="62">
        <v>-46.03</v>
      </c>
      <c r="J196" s="62">
        <v>0</v>
      </c>
      <c r="K196" s="62">
        <v>0.03</v>
      </c>
      <c r="L196" s="62">
        <v>0.04</v>
      </c>
      <c r="M196" s="62">
        <v>0.06</v>
      </c>
      <c r="N196" s="55"/>
    </row>
    <row r="197" spans="1:14">
      <c r="A197" s="55">
        <v>156</v>
      </c>
      <c r="B197" s="55" t="s">
        <v>489</v>
      </c>
      <c r="C197" s="55" t="s">
        <v>19</v>
      </c>
      <c r="D197" s="22">
        <v>5</v>
      </c>
      <c r="E197" s="22">
        <v>0</v>
      </c>
      <c r="F197" s="22">
        <v>34</v>
      </c>
      <c r="G197" s="22">
        <v>27</v>
      </c>
      <c r="H197" s="55">
        <v>0</v>
      </c>
      <c r="I197" s="55">
        <v>25.93</v>
      </c>
      <c r="J197" s="55">
        <v>0.03</v>
      </c>
      <c r="K197" s="55">
        <v>0.03</v>
      </c>
      <c r="L197" s="55">
        <v>0</v>
      </c>
      <c r="M197" s="55">
        <v>0.03</v>
      </c>
      <c r="N197" s="55"/>
    </row>
    <row r="198" spans="1:14">
      <c r="A198" s="55">
        <v>157</v>
      </c>
      <c r="B198" s="55" t="s">
        <v>139</v>
      </c>
      <c r="C198" s="55" t="s">
        <v>19</v>
      </c>
      <c r="D198" s="22">
        <v>0</v>
      </c>
      <c r="E198" s="22">
        <v>13</v>
      </c>
      <c r="F198" s="22">
        <v>30</v>
      </c>
      <c r="G198" s="22">
        <v>142</v>
      </c>
      <c r="H198" s="55">
        <v>-100</v>
      </c>
      <c r="I198" s="55">
        <v>-78.87</v>
      </c>
      <c r="J198" s="55">
        <v>0</v>
      </c>
      <c r="K198" s="55">
        <v>0.02</v>
      </c>
      <c r="L198" s="55">
        <v>0.11</v>
      </c>
      <c r="M198" s="55">
        <v>0.13</v>
      </c>
      <c r="N198" s="55"/>
    </row>
    <row r="199" spans="1:14">
      <c r="A199" s="55">
        <v>158</v>
      </c>
      <c r="B199" s="55" t="s">
        <v>987</v>
      </c>
      <c r="C199" s="55" t="s">
        <v>19</v>
      </c>
      <c r="D199" s="22">
        <v>0</v>
      </c>
      <c r="E199" s="22">
        <v>7</v>
      </c>
      <c r="F199" s="22">
        <v>30</v>
      </c>
      <c r="G199" s="22">
        <v>63</v>
      </c>
      <c r="H199" s="55">
        <v>-100</v>
      </c>
      <c r="I199" s="55">
        <v>-52.38</v>
      </c>
      <c r="J199" s="55">
        <v>0</v>
      </c>
      <c r="K199" s="55">
        <v>0.02</v>
      </c>
      <c r="L199" s="55">
        <v>0.06</v>
      </c>
      <c r="M199" s="55">
        <v>0.06</v>
      </c>
      <c r="N199" s="55"/>
    </row>
    <row r="200" spans="1:14">
      <c r="A200" s="55">
        <v>159</v>
      </c>
      <c r="B200" s="55" t="s">
        <v>610</v>
      </c>
      <c r="C200" s="55" t="s">
        <v>20</v>
      </c>
      <c r="D200" s="22">
        <v>1</v>
      </c>
      <c r="E200" s="22">
        <v>2</v>
      </c>
      <c r="F200" s="22">
        <v>30</v>
      </c>
      <c r="G200" s="22">
        <v>17</v>
      </c>
      <c r="H200" s="55">
        <v>-50</v>
      </c>
      <c r="I200" s="55">
        <v>76.47</v>
      </c>
      <c r="J200" s="55">
        <v>0.01</v>
      </c>
      <c r="K200" s="55">
        <v>0.02</v>
      </c>
      <c r="L200" s="55">
        <v>0.02</v>
      </c>
      <c r="M200" s="55">
        <v>0.02</v>
      </c>
      <c r="N200" s="55"/>
    </row>
    <row r="201" spans="1:14">
      <c r="A201" s="55">
        <v>160</v>
      </c>
      <c r="B201" s="55" t="s">
        <v>1128</v>
      </c>
      <c r="C201" s="55" t="s">
        <v>20</v>
      </c>
      <c r="D201" s="22">
        <v>3</v>
      </c>
      <c r="E201" s="22">
        <v>0</v>
      </c>
      <c r="F201" s="22">
        <v>30</v>
      </c>
      <c r="G201" s="22">
        <v>0</v>
      </c>
      <c r="H201" s="55">
        <v>0</v>
      </c>
      <c r="I201" s="55">
        <v>0</v>
      </c>
      <c r="J201" s="55">
        <v>0.02</v>
      </c>
      <c r="K201" s="55">
        <v>0.02</v>
      </c>
      <c r="L201" s="55">
        <v>0</v>
      </c>
      <c r="M201" s="55">
        <v>0</v>
      </c>
      <c r="N201" s="55"/>
    </row>
    <row r="202" spans="1:14">
      <c r="A202" s="55">
        <v>161</v>
      </c>
      <c r="B202" s="55" t="s">
        <v>690</v>
      </c>
      <c r="C202" s="55" t="s">
        <v>19</v>
      </c>
      <c r="D202" s="22">
        <v>1</v>
      </c>
      <c r="E202" s="22">
        <v>2</v>
      </c>
      <c r="F202" s="22">
        <v>29</v>
      </c>
      <c r="G202" s="22">
        <v>13</v>
      </c>
      <c r="H202" s="55">
        <v>-50</v>
      </c>
      <c r="I202" s="55">
        <v>123.08</v>
      </c>
      <c r="J202" s="55">
        <v>0.01</v>
      </c>
      <c r="K202" s="55">
        <v>0.02</v>
      </c>
      <c r="L202" s="55">
        <v>0.02</v>
      </c>
      <c r="M202" s="55">
        <v>0.01</v>
      </c>
      <c r="N202" s="55"/>
    </row>
    <row r="203" spans="1:14">
      <c r="A203" s="55">
        <v>162</v>
      </c>
      <c r="B203" s="55" t="s">
        <v>702</v>
      </c>
      <c r="C203" s="55" t="s">
        <v>19</v>
      </c>
      <c r="D203" s="22">
        <v>1</v>
      </c>
      <c r="E203" s="22">
        <v>2</v>
      </c>
      <c r="F203" s="22">
        <v>28</v>
      </c>
      <c r="G203" s="22">
        <v>83</v>
      </c>
      <c r="H203" s="55">
        <v>-50</v>
      </c>
      <c r="I203" s="55">
        <v>-66.27</v>
      </c>
      <c r="J203" s="55">
        <v>0.01</v>
      </c>
      <c r="K203" s="55">
        <v>0.02</v>
      </c>
      <c r="L203" s="55">
        <v>0.02</v>
      </c>
      <c r="M203" s="55">
        <v>0.08</v>
      </c>
      <c r="N203" s="55"/>
    </row>
    <row r="204" spans="1:14">
      <c r="A204" s="55">
        <v>163</v>
      </c>
      <c r="B204" s="55" t="s">
        <v>1239</v>
      </c>
      <c r="C204" s="55" t="s">
        <v>20</v>
      </c>
      <c r="D204" s="22">
        <v>16</v>
      </c>
      <c r="E204" s="22">
        <v>0</v>
      </c>
      <c r="F204" s="22">
        <v>28</v>
      </c>
      <c r="G204" s="22">
        <v>0</v>
      </c>
      <c r="H204" s="55">
        <v>0</v>
      </c>
      <c r="I204" s="55">
        <v>0</v>
      </c>
      <c r="J204" s="55">
        <v>0.09</v>
      </c>
      <c r="K204" s="55">
        <v>0.02</v>
      </c>
      <c r="L204" s="55">
        <v>0</v>
      </c>
      <c r="M204" s="55">
        <v>0</v>
      </c>
      <c r="N204" s="55"/>
    </row>
    <row r="205" spans="1:14">
      <c r="A205" s="55">
        <v>164</v>
      </c>
      <c r="B205" s="55" t="s">
        <v>434</v>
      </c>
      <c r="C205" s="55" t="s">
        <v>19</v>
      </c>
      <c r="D205" s="22">
        <v>2</v>
      </c>
      <c r="E205" s="22">
        <v>5</v>
      </c>
      <c r="F205" s="22">
        <v>26</v>
      </c>
      <c r="G205" s="22">
        <v>86</v>
      </c>
      <c r="H205" s="55">
        <v>-60</v>
      </c>
      <c r="I205" s="55">
        <v>-69.77</v>
      </c>
      <c r="J205" s="55">
        <v>0.01</v>
      </c>
      <c r="K205" s="55">
        <v>0.02</v>
      </c>
      <c r="L205" s="55">
        <v>0.04</v>
      </c>
      <c r="M205" s="55">
        <v>0.08</v>
      </c>
      <c r="N205" s="55"/>
    </row>
    <row r="206" spans="1:14">
      <c r="A206" s="135">
        <v>165</v>
      </c>
      <c r="B206" s="135" t="s">
        <v>492</v>
      </c>
      <c r="C206" s="135" t="s">
        <v>19</v>
      </c>
      <c r="D206" s="142">
        <v>2</v>
      </c>
      <c r="E206" s="142">
        <v>1</v>
      </c>
      <c r="F206" s="142">
        <v>26</v>
      </c>
      <c r="G206" s="142">
        <v>8</v>
      </c>
      <c r="H206" s="135">
        <v>100</v>
      </c>
      <c r="I206" s="135">
        <v>225</v>
      </c>
      <c r="J206" s="135">
        <v>0.01</v>
      </c>
      <c r="K206" s="135">
        <v>0.02</v>
      </c>
      <c r="L206" s="135">
        <v>0.01</v>
      </c>
      <c r="M206" s="135">
        <v>0.01</v>
      </c>
      <c r="N206" s="55"/>
    </row>
    <row r="207" spans="1:14">
      <c r="A207" s="135">
        <v>166</v>
      </c>
      <c r="B207" s="135" t="s">
        <v>129</v>
      </c>
      <c r="C207" s="135" t="s">
        <v>19</v>
      </c>
      <c r="D207" s="142">
        <v>3</v>
      </c>
      <c r="E207" s="142">
        <v>2</v>
      </c>
      <c r="F207" s="142">
        <v>25</v>
      </c>
      <c r="G207" s="142">
        <v>76</v>
      </c>
      <c r="H207" s="135">
        <v>50</v>
      </c>
      <c r="I207" s="135">
        <v>-67.11</v>
      </c>
      <c r="J207" s="135">
        <v>0.02</v>
      </c>
      <c r="K207" s="135">
        <v>0.02</v>
      </c>
      <c r="L207" s="135">
        <v>0.02</v>
      </c>
      <c r="M207" s="135">
        <v>7.0000000000000007E-2</v>
      </c>
      <c r="N207" s="55"/>
    </row>
    <row r="208" spans="1:14">
      <c r="A208" s="135">
        <v>167</v>
      </c>
      <c r="B208" s="135" t="s">
        <v>429</v>
      </c>
      <c r="C208" s="135" t="s">
        <v>20</v>
      </c>
      <c r="D208" s="142">
        <v>0</v>
      </c>
      <c r="E208" s="142">
        <v>0</v>
      </c>
      <c r="F208" s="142">
        <v>24</v>
      </c>
      <c r="G208" s="142">
        <v>28</v>
      </c>
      <c r="H208" s="135">
        <v>0</v>
      </c>
      <c r="I208" s="135">
        <v>-14.29</v>
      </c>
      <c r="J208" s="135">
        <v>0</v>
      </c>
      <c r="K208" s="135">
        <v>0.02</v>
      </c>
      <c r="L208" s="135">
        <v>0</v>
      </c>
      <c r="M208" s="135">
        <v>0.03</v>
      </c>
      <c r="N208" s="55"/>
    </row>
    <row r="209" spans="1:14">
      <c r="A209" s="135">
        <v>168</v>
      </c>
      <c r="B209" s="135" t="s">
        <v>398</v>
      </c>
      <c r="C209" s="135" t="s">
        <v>20</v>
      </c>
      <c r="D209" s="142">
        <v>0</v>
      </c>
      <c r="E209" s="142">
        <v>38</v>
      </c>
      <c r="F209" s="142">
        <v>23</v>
      </c>
      <c r="G209" s="142">
        <v>179</v>
      </c>
      <c r="H209" s="135">
        <v>-100</v>
      </c>
      <c r="I209" s="135">
        <v>-87.15</v>
      </c>
      <c r="J209" s="135">
        <v>0</v>
      </c>
      <c r="K209" s="135">
        <v>0.02</v>
      </c>
      <c r="L209" s="135">
        <v>0.31</v>
      </c>
      <c r="M209" s="135">
        <v>0.17</v>
      </c>
      <c r="N209" s="55"/>
    </row>
    <row r="210" spans="1:14">
      <c r="A210" s="135">
        <v>169</v>
      </c>
      <c r="B210" s="135" t="s">
        <v>237</v>
      </c>
      <c r="C210" s="135" t="s">
        <v>19</v>
      </c>
      <c r="D210" s="142">
        <v>4</v>
      </c>
      <c r="E210" s="142">
        <v>2</v>
      </c>
      <c r="F210" s="142">
        <v>23</v>
      </c>
      <c r="G210" s="142">
        <v>16</v>
      </c>
      <c r="H210" s="135">
        <v>100</v>
      </c>
      <c r="I210" s="135">
        <v>43.75</v>
      </c>
      <c r="J210" s="135">
        <v>0.02</v>
      </c>
      <c r="K210" s="135">
        <v>0.02</v>
      </c>
      <c r="L210" s="135">
        <v>0.02</v>
      </c>
      <c r="M210" s="135">
        <v>0.02</v>
      </c>
      <c r="N210" s="55"/>
    </row>
    <row r="211" spans="1:14">
      <c r="A211" s="135">
        <v>170</v>
      </c>
      <c r="B211" s="135" t="s">
        <v>595</v>
      </c>
      <c r="C211" s="135" t="s">
        <v>19</v>
      </c>
      <c r="D211" s="142">
        <v>1</v>
      </c>
      <c r="E211" s="142">
        <v>0</v>
      </c>
      <c r="F211" s="142">
        <v>22</v>
      </c>
      <c r="G211" s="142">
        <v>47</v>
      </c>
      <c r="H211" s="135">
        <v>0</v>
      </c>
      <c r="I211" s="135">
        <v>-53.19</v>
      </c>
      <c r="J211" s="135">
        <v>0.01</v>
      </c>
      <c r="K211" s="135">
        <v>0.02</v>
      </c>
      <c r="L211" s="135">
        <v>0</v>
      </c>
      <c r="M211" s="135">
        <v>0.04</v>
      </c>
      <c r="N211" s="55"/>
    </row>
    <row r="212" spans="1:14">
      <c r="A212" s="135">
        <v>171</v>
      </c>
      <c r="B212" s="135" t="s">
        <v>698</v>
      </c>
      <c r="C212" s="135" t="s">
        <v>19</v>
      </c>
      <c r="D212" s="142">
        <v>1</v>
      </c>
      <c r="E212" s="142">
        <v>0</v>
      </c>
      <c r="F212" s="142">
        <v>22</v>
      </c>
      <c r="G212" s="142">
        <v>6</v>
      </c>
      <c r="H212" s="135">
        <v>0</v>
      </c>
      <c r="I212" s="135">
        <v>266.67</v>
      </c>
      <c r="J212" s="135">
        <v>0.01</v>
      </c>
      <c r="K212" s="135">
        <v>0.02</v>
      </c>
      <c r="L212" s="135">
        <v>0</v>
      </c>
      <c r="M212" s="135">
        <v>0.01</v>
      </c>
      <c r="N212" s="55"/>
    </row>
    <row r="213" spans="1:14">
      <c r="A213" s="135">
        <v>172</v>
      </c>
      <c r="B213" s="135" t="s">
        <v>419</v>
      </c>
      <c r="C213" s="135" t="s">
        <v>19</v>
      </c>
      <c r="D213" s="142">
        <v>6</v>
      </c>
      <c r="E213" s="142">
        <v>7</v>
      </c>
      <c r="F213" s="142">
        <v>19</v>
      </c>
      <c r="G213" s="142">
        <v>41</v>
      </c>
      <c r="H213" s="135">
        <v>-14.29</v>
      </c>
      <c r="I213" s="135">
        <v>-53.66</v>
      </c>
      <c r="J213" s="135">
        <v>0.03</v>
      </c>
      <c r="K213" s="135">
        <v>0.02</v>
      </c>
      <c r="L213" s="135">
        <v>0.06</v>
      </c>
      <c r="M213" s="135">
        <v>0.04</v>
      </c>
      <c r="N213" s="55"/>
    </row>
    <row r="214" spans="1:14">
      <c r="A214" s="135">
        <v>173</v>
      </c>
      <c r="B214" s="135" t="s">
        <v>497</v>
      </c>
      <c r="C214" s="135" t="s">
        <v>19</v>
      </c>
      <c r="D214" s="142">
        <v>0</v>
      </c>
      <c r="E214" s="142">
        <v>0</v>
      </c>
      <c r="F214" s="142">
        <v>19</v>
      </c>
      <c r="G214" s="142">
        <v>22</v>
      </c>
      <c r="H214" s="135">
        <v>0</v>
      </c>
      <c r="I214" s="135">
        <v>-13.64</v>
      </c>
      <c r="J214" s="135">
        <v>0</v>
      </c>
      <c r="K214" s="135">
        <v>0.02</v>
      </c>
      <c r="L214" s="135">
        <v>0</v>
      </c>
      <c r="M214" s="135">
        <v>0.02</v>
      </c>
      <c r="N214" s="55"/>
    </row>
    <row r="215" spans="1:14">
      <c r="A215" s="135">
        <v>174</v>
      </c>
      <c r="B215" s="135" t="s">
        <v>1269</v>
      </c>
      <c r="C215" s="135" t="s">
        <v>20</v>
      </c>
      <c r="D215" s="142">
        <v>19</v>
      </c>
      <c r="E215" s="142">
        <v>0</v>
      </c>
      <c r="F215" s="142">
        <v>19</v>
      </c>
      <c r="G215" s="142">
        <v>0</v>
      </c>
      <c r="H215" s="137">
        <v>0</v>
      </c>
      <c r="I215" s="137">
        <v>0</v>
      </c>
      <c r="J215" s="137">
        <v>0.11</v>
      </c>
      <c r="K215" s="137">
        <v>0.02</v>
      </c>
      <c r="L215" s="137">
        <v>0</v>
      </c>
      <c r="M215" s="137">
        <v>0</v>
      </c>
      <c r="N215" s="55"/>
    </row>
    <row r="216" spans="1:14">
      <c r="A216" s="135">
        <v>175</v>
      </c>
      <c r="B216" s="135" t="s">
        <v>1233</v>
      </c>
      <c r="C216" s="135" t="s">
        <v>20</v>
      </c>
      <c r="D216" s="142">
        <v>2</v>
      </c>
      <c r="E216" s="142">
        <v>0</v>
      </c>
      <c r="F216" s="142">
        <v>18</v>
      </c>
      <c r="G216" s="142">
        <v>0</v>
      </c>
      <c r="H216" s="135">
        <v>0</v>
      </c>
      <c r="I216" s="135">
        <v>0</v>
      </c>
      <c r="J216" s="135">
        <v>0.01</v>
      </c>
      <c r="K216" s="135">
        <v>0.01</v>
      </c>
      <c r="L216" s="135">
        <v>0</v>
      </c>
      <c r="M216" s="135">
        <v>0</v>
      </c>
      <c r="N216" s="55"/>
    </row>
    <row r="217" spans="1:14">
      <c r="A217" s="135">
        <v>176</v>
      </c>
      <c r="B217" s="135" t="s">
        <v>1036</v>
      </c>
      <c r="C217" s="135" t="s">
        <v>20</v>
      </c>
      <c r="D217" s="142">
        <v>1</v>
      </c>
      <c r="E217" s="142">
        <v>0</v>
      </c>
      <c r="F217" s="142">
        <v>18</v>
      </c>
      <c r="G217" s="142">
        <v>0</v>
      </c>
      <c r="H217" s="135">
        <v>0</v>
      </c>
      <c r="I217" s="135">
        <v>0</v>
      </c>
      <c r="J217" s="135">
        <v>0.01</v>
      </c>
      <c r="K217" s="135">
        <v>0.01</v>
      </c>
      <c r="L217" s="135">
        <v>0</v>
      </c>
      <c r="M217" s="135">
        <v>0</v>
      </c>
      <c r="N217" s="55"/>
    </row>
    <row r="218" spans="1:14">
      <c r="A218" s="135">
        <v>177</v>
      </c>
      <c r="B218" s="135" t="s">
        <v>1084</v>
      </c>
      <c r="C218" s="135" t="s">
        <v>20</v>
      </c>
      <c r="D218" s="142">
        <v>3</v>
      </c>
      <c r="E218" s="142">
        <v>0</v>
      </c>
      <c r="F218" s="142">
        <v>18</v>
      </c>
      <c r="G218" s="142">
        <v>0</v>
      </c>
      <c r="H218" s="135">
        <v>0</v>
      </c>
      <c r="I218" s="135">
        <v>0</v>
      </c>
      <c r="J218" s="135">
        <v>0.02</v>
      </c>
      <c r="K218" s="135">
        <v>0.01</v>
      </c>
      <c r="L218" s="135">
        <v>0</v>
      </c>
      <c r="M218" s="135">
        <v>0</v>
      </c>
      <c r="N218" s="55"/>
    </row>
    <row r="219" spans="1:14">
      <c r="A219" s="135">
        <v>178</v>
      </c>
      <c r="B219" s="135" t="s">
        <v>171</v>
      </c>
      <c r="C219" s="135" t="s">
        <v>19</v>
      </c>
      <c r="D219" s="142">
        <v>2</v>
      </c>
      <c r="E219" s="142">
        <v>0</v>
      </c>
      <c r="F219" s="142">
        <v>16</v>
      </c>
      <c r="G219" s="142">
        <v>30</v>
      </c>
      <c r="H219" s="135">
        <v>0</v>
      </c>
      <c r="I219" s="135">
        <v>-46.67</v>
      </c>
      <c r="J219" s="135">
        <v>0.01</v>
      </c>
      <c r="K219" s="135">
        <v>0.01</v>
      </c>
      <c r="L219" s="135">
        <v>0</v>
      </c>
      <c r="M219" s="135">
        <v>0.03</v>
      </c>
      <c r="N219" s="55"/>
    </row>
    <row r="220" spans="1:14">
      <c r="A220" s="135">
        <v>179</v>
      </c>
      <c r="B220" s="135" t="s">
        <v>1099</v>
      </c>
      <c r="C220" s="135" t="s">
        <v>20</v>
      </c>
      <c r="D220" s="142">
        <v>0</v>
      </c>
      <c r="E220" s="142">
        <v>2</v>
      </c>
      <c r="F220" s="142">
        <v>15</v>
      </c>
      <c r="G220" s="142">
        <v>13</v>
      </c>
      <c r="H220" s="135">
        <v>-100</v>
      </c>
      <c r="I220" s="135">
        <v>15.38</v>
      </c>
      <c r="J220" s="135">
        <v>0</v>
      </c>
      <c r="K220" s="135">
        <v>0.01</v>
      </c>
      <c r="L220" s="135">
        <v>0.02</v>
      </c>
      <c r="M220" s="135">
        <v>0.01</v>
      </c>
      <c r="N220" s="55"/>
    </row>
    <row r="221" spans="1:14">
      <c r="A221" s="135">
        <v>180</v>
      </c>
      <c r="B221" s="135" t="s">
        <v>386</v>
      </c>
      <c r="C221" s="135" t="s">
        <v>20</v>
      </c>
      <c r="D221" s="142">
        <v>0</v>
      </c>
      <c r="E221" s="142">
        <v>0</v>
      </c>
      <c r="F221" s="142">
        <v>14</v>
      </c>
      <c r="G221" s="142">
        <v>85</v>
      </c>
      <c r="H221" s="135">
        <v>0</v>
      </c>
      <c r="I221" s="135">
        <v>-83.53</v>
      </c>
      <c r="J221" s="135">
        <v>0</v>
      </c>
      <c r="K221" s="135">
        <v>0.01</v>
      </c>
      <c r="L221" s="135">
        <v>0</v>
      </c>
      <c r="M221" s="135">
        <v>0.08</v>
      </c>
      <c r="N221" s="55"/>
    </row>
    <row r="222" spans="1:14">
      <c r="A222" s="135">
        <v>181</v>
      </c>
      <c r="B222" s="135" t="s">
        <v>232</v>
      </c>
      <c r="C222" s="135" t="s">
        <v>19</v>
      </c>
      <c r="D222" s="142">
        <v>2</v>
      </c>
      <c r="E222" s="142">
        <v>6</v>
      </c>
      <c r="F222" s="142">
        <v>14</v>
      </c>
      <c r="G222" s="142">
        <v>28</v>
      </c>
      <c r="H222" s="135">
        <v>-66.67</v>
      </c>
      <c r="I222" s="135">
        <v>-50</v>
      </c>
      <c r="J222" s="135">
        <v>0.01</v>
      </c>
      <c r="K222" s="135">
        <v>0.01</v>
      </c>
      <c r="L222" s="135">
        <v>0.05</v>
      </c>
      <c r="M222" s="135">
        <v>0.03</v>
      </c>
      <c r="N222" s="55"/>
    </row>
    <row r="223" spans="1:14">
      <c r="A223" s="135">
        <v>182</v>
      </c>
      <c r="B223" s="135" t="s">
        <v>421</v>
      </c>
      <c r="C223" s="135" t="s">
        <v>19</v>
      </c>
      <c r="D223" s="142">
        <v>2</v>
      </c>
      <c r="E223" s="142">
        <v>0</v>
      </c>
      <c r="F223" s="142">
        <v>12</v>
      </c>
      <c r="G223" s="142">
        <v>31</v>
      </c>
      <c r="H223" s="135">
        <v>0</v>
      </c>
      <c r="I223" s="135">
        <v>-61.29</v>
      </c>
      <c r="J223" s="135">
        <v>0.01</v>
      </c>
      <c r="K223" s="135">
        <v>0.01</v>
      </c>
      <c r="L223" s="135">
        <v>0</v>
      </c>
      <c r="M223" s="135">
        <v>0.03</v>
      </c>
      <c r="N223" s="55"/>
    </row>
    <row r="224" spans="1:14">
      <c r="A224" s="135">
        <v>183</v>
      </c>
      <c r="B224" s="135" t="s">
        <v>1081</v>
      </c>
      <c r="C224" s="135" t="s">
        <v>20</v>
      </c>
      <c r="D224" s="142">
        <v>1</v>
      </c>
      <c r="E224" s="142">
        <v>1</v>
      </c>
      <c r="F224" s="142">
        <v>11</v>
      </c>
      <c r="G224" s="142">
        <v>16</v>
      </c>
      <c r="H224" s="135">
        <v>0</v>
      </c>
      <c r="I224" s="135">
        <v>-31.25</v>
      </c>
      <c r="J224" s="135">
        <v>0.01</v>
      </c>
      <c r="K224" s="135">
        <v>0.01</v>
      </c>
      <c r="L224" s="135">
        <v>0.01</v>
      </c>
      <c r="M224" s="135">
        <v>0.02</v>
      </c>
      <c r="N224" s="55"/>
    </row>
    <row r="225" spans="1:14">
      <c r="A225" s="135">
        <v>184</v>
      </c>
      <c r="B225" s="135" t="s">
        <v>389</v>
      </c>
      <c r="C225" s="135" t="s">
        <v>19</v>
      </c>
      <c r="D225" s="142">
        <v>0</v>
      </c>
      <c r="E225" s="142">
        <v>7</v>
      </c>
      <c r="F225" s="142">
        <v>11</v>
      </c>
      <c r="G225" s="142">
        <v>7</v>
      </c>
      <c r="H225" s="135">
        <v>-100</v>
      </c>
      <c r="I225" s="135">
        <v>57.14</v>
      </c>
      <c r="J225" s="135">
        <v>0</v>
      </c>
      <c r="K225" s="135">
        <v>0.01</v>
      </c>
      <c r="L225" s="135">
        <v>0.06</v>
      </c>
      <c r="M225" s="135">
        <v>0.01</v>
      </c>
      <c r="N225" s="55"/>
    </row>
    <row r="226" spans="1:14">
      <c r="A226" s="135">
        <v>185</v>
      </c>
      <c r="B226" s="135" t="s">
        <v>1216</v>
      </c>
      <c r="C226" s="135" t="s">
        <v>19</v>
      </c>
      <c r="D226" s="142">
        <v>2</v>
      </c>
      <c r="E226" s="142">
        <v>0</v>
      </c>
      <c r="F226" s="142">
        <v>11</v>
      </c>
      <c r="G226" s="142">
        <v>0</v>
      </c>
      <c r="H226" s="135">
        <v>0</v>
      </c>
      <c r="I226" s="135">
        <v>0</v>
      </c>
      <c r="J226" s="135">
        <v>0.01</v>
      </c>
      <c r="K226" s="135">
        <v>0.01</v>
      </c>
      <c r="L226" s="135">
        <v>0</v>
      </c>
      <c r="M226" s="135">
        <v>0</v>
      </c>
      <c r="N226" s="55"/>
    </row>
    <row r="227" spans="1:14">
      <c r="A227" s="135">
        <v>186</v>
      </c>
      <c r="B227" s="135" t="s">
        <v>359</v>
      </c>
      <c r="C227" s="135" t="s">
        <v>19</v>
      </c>
      <c r="D227" s="142">
        <v>0</v>
      </c>
      <c r="E227" s="142">
        <v>2</v>
      </c>
      <c r="F227" s="142">
        <v>9</v>
      </c>
      <c r="G227" s="142">
        <v>14</v>
      </c>
      <c r="H227" s="135">
        <v>-100</v>
      </c>
      <c r="I227" s="135">
        <v>-35.71</v>
      </c>
      <c r="J227" s="135">
        <v>0</v>
      </c>
      <c r="K227" s="135">
        <v>0.01</v>
      </c>
      <c r="L227" s="135">
        <v>0.02</v>
      </c>
      <c r="M227" s="135">
        <v>0.01</v>
      </c>
      <c r="N227" s="55"/>
    </row>
    <row r="228" spans="1:14">
      <c r="A228" s="135">
        <v>187</v>
      </c>
      <c r="B228" s="135" t="s">
        <v>1159</v>
      </c>
      <c r="C228" s="135" t="s">
        <v>19</v>
      </c>
      <c r="D228" s="142">
        <v>0</v>
      </c>
      <c r="E228" s="142">
        <v>0</v>
      </c>
      <c r="F228" s="142">
        <v>9</v>
      </c>
      <c r="G228" s="142">
        <v>0</v>
      </c>
      <c r="H228" s="135">
        <v>0</v>
      </c>
      <c r="I228" s="135">
        <v>0</v>
      </c>
      <c r="J228" s="135">
        <v>0</v>
      </c>
      <c r="K228" s="135">
        <v>0.01</v>
      </c>
      <c r="L228" s="135">
        <v>0</v>
      </c>
      <c r="M228" s="135">
        <v>0</v>
      </c>
      <c r="N228" s="55"/>
    </row>
    <row r="229" spans="1:14">
      <c r="A229" s="135">
        <v>188</v>
      </c>
      <c r="B229" s="135" t="s">
        <v>1225</v>
      </c>
      <c r="C229" s="135" t="s">
        <v>20</v>
      </c>
      <c r="D229" s="142">
        <v>0</v>
      </c>
      <c r="E229" s="142">
        <v>0</v>
      </c>
      <c r="F229" s="142">
        <v>8</v>
      </c>
      <c r="G229" s="142">
        <v>0</v>
      </c>
      <c r="H229" s="135">
        <v>0</v>
      </c>
      <c r="I229" s="135">
        <v>0</v>
      </c>
      <c r="J229" s="135">
        <v>0</v>
      </c>
      <c r="K229" s="135">
        <v>0.01</v>
      </c>
      <c r="L229" s="135">
        <v>0</v>
      </c>
      <c r="M229" s="135">
        <v>0</v>
      </c>
      <c r="N229" s="55"/>
    </row>
    <row r="230" spans="1:14">
      <c r="A230" s="135">
        <v>189</v>
      </c>
      <c r="B230" s="135" t="s">
        <v>1157</v>
      </c>
      <c r="C230" s="135" t="s">
        <v>19</v>
      </c>
      <c r="D230" s="142">
        <v>3</v>
      </c>
      <c r="E230" s="142">
        <v>0</v>
      </c>
      <c r="F230" s="142">
        <v>7</v>
      </c>
      <c r="G230" s="142">
        <v>0</v>
      </c>
      <c r="H230" s="135">
        <v>0</v>
      </c>
      <c r="I230" s="135">
        <v>0</v>
      </c>
      <c r="J230" s="135">
        <v>0.02</v>
      </c>
      <c r="K230" s="135">
        <v>0.01</v>
      </c>
      <c r="L230" s="135">
        <v>0</v>
      </c>
      <c r="M230" s="135">
        <v>0</v>
      </c>
      <c r="N230" s="55"/>
    </row>
    <row r="231" spans="1:14">
      <c r="A231" s="135">
        <v>190</v>
      </c>
      <c r="B231" s="135" t="s">
        <v>377</v>
      </c>
      <c r="C231" s="135" t="s">
        <v>19</v>
      </c>
      <c r="D231" s="142">
        <v>0</v>
      </c>
      <c r="E231" s="142">
        <v>2</v>
      </c>
      <c r="F231" s="142">
        <v>6</v>
      </c>
      <c r="G231" s="142">
        <v>72</v>
      </c>
      <c r="H231" s="135">
        <v>-100</v>
      </c>
      <c r="I231" s="135">
        <v>-91.67</v>
      </c>
      <c r="J231" s="135">
        <v>0</v>
      </c>
      <c r="K231" s="135">
        <v>0</v>
      </c>
      <c r="L231" s="135">
        <v>0.02</v>
      </c>
      <c r="M231" s="135">
        <v>7.0000000000000007E-2</v>
      </c>
      <c r="N231" s="55"/>
    </row>
    <row r="232" spans="1:14">
      <c r="A232" s="135">
        <v>191</v>
      </c>
      <c r="B232" s="135" t="s">
        <v>1095</v>
      </c>
      <c r="C232" s="135" t="s">
        <v>19</v>
      </c>
      <c r="D232" s="142">
        <v>0</v>
      </c>
      <c r="E232" s="142">
        <v>0</v>
      </c>
      <c r="F232" s="142">
        <v>5</v>
      </c>
      <c r="G232" s="142">
        <v>3</v>
      </c>
      <c r="H232" s="135">
        <v>0</v>
      </c>
      <c r="I232" s="135">
        <v>66.67</v>
      </c>
      <c r="J232" s="135">
        <v>0</v>
      </c>
      <c r="K232" s="135">
        <v>0</v>
      </c>
      <c r="L232" s="135">
        <v>0</v>
      </c>
      <c r="M232" s="135">
        <v>0</v>
      </c>
      <c r="N232" s="55"/>
    </row>
    <row r="233" spans="1:14">
      <c r="A233" s="135">
        <v>192</v>
      </c>
      <c r="B233" s="135" t="s">
        <v>1096</v>
      </c>
      <c r="C233" s="135" t="s">
        <v>19</v>
      </c>
      <c r="D233" s="142">
        <v>0</v>
      </c>
      <c r="E233" s="142">
        <v>0</v>
      </c>
      <c r="F233" s="142">
        <v>5</v>
      </c>
      <c r="G233" s="142">
        <v>0</v>
      </c>
      <c r="H233" s="135">
        <v>0</v>
      </c>
      <c r="I233" s="135">
        <v>0</v>
      </c>
      <c r="J233" s="135">
        <v>0</v>
      </c>
      <c r="K233" s="135">
        <v>0</v>
      </c>
      <c r="L233" s="135">
        <v>0</v>
      </c>
      <c r="M233" s="135">
        <v>0</v>
      </c>
      <c r="N233" s="55"/>
    </row>
    <row r="234" spans="1:14">
      <c r="A234" s="135">
        <v>193</v>
      </c>
      <c r="B234" s="135" t="s">
        <v>494</v>
      </c>
      <c r="C234" s="135" t="s">
        <v>19</v>
      </c>
      <c r="D234" s="142">
        <v>0</v>
      </c>
      <c r="E234" s="142">
        <v>4</v>
      </c>
      <c r="F234" s="142">
        <v>4</v>
      </c>
      <c r="G234" s="142">
        <v>39</v>
      </c>
      <c r="H234" s="135">
        <v>-100</v>
      </c>
      <c r="I234" s="135">
        <v>-89.74</v>
      </c>
      <c r="J234" s="135">
        <v>0</v>
      </c>
      <c r="K234" s="135">
        <v>0</v>
      </c>
      <c r="L234" s="135">
        <v>0.03</v>
      </c>
      <c r="M234" s="135">
        <v>0.04</v>
      </c>
      <c r="N234" s="55"/>
    </row>
    <row r="235" spans="1:14">
      <c r="A235" s="135">
        <v>194</v>
      </c>
      <c r="B235" s="135" t="s">
        <v>433</v>
      </c>
      <c r="C235" s="135" t="s">
        <v>19</v>
      </c>
      <c r="D235" s="142">
        <v>0</v>
      </c>
      <c r="E235" s="142">
        <v>0</v>
      </c>
      <c r="F235" s="142">
        <v>4</v>
      </c>
      <c r="G235" s="142">
        <v>5</v>
      </c>
      <c r="H235" s="135">
        <v>0</v>
      </c>
      <c r="I235" s="135">
        <v>-20</v>
      </c>
      <c r="J235" s="135">
        <v>0</v>
      </c>
      <c r="K235" s="135">
        <v>0</v>
      </c>
      <c r="L235" s="135">
        <v>0</v>
      </c>
      <c r="M235" s="135">
        <v>0</v>
      </c>
      <c r="N235" s="55"/>
    </row>
    <row r="236" spans="1:14">
      <c r="A236" s="135">
        <v>195</v>
      </c>
      <c r="B236" s="135" t="s">
        <v>1061</v>
      </c>
      <c r="C236" s="135" t="s">
        <v>19</v>
      </c>
      <c r="D236" s="142">
        <v>0</v>
      </c>
      <c r="E236" s="142">
        <v>0</v>
      </c>
      <c r="F236" s="142">
        <v>4</v>
      </c>
      <c r="G236" s="142">
        <v>0</v>
      </c>
      <c r="H236" s="135">
        <v>0</v>
      </c>
      <c r="I236" s="135">
        <v>0</v>
      </c>
      <c r="J236" s="135">
        <v>0</v>
      </c>
      <c r="K236" s="135">
        <v>0</v>
      </c>
      <c r="L236" s="135">
        <v>0</v>
      </c>
      <c r="M236" s="135">
        <v>0</v>
      </c>
      <c r="N236" s="55"/>
    </row>
    <row r="237" spans="1:14">
      <c r="A237" s="135">
        <v>196</v>
      </c>
      <c r="B237" s="135" t="s">
        <v>140</v>
      </c>
      <c r="C237" s="135" t="s">
        <v>19</v>
      </c>
      <c r="D237" s="142">
        <v>0</v>
      </c>
      <c r="E237" s="142">
        <v>2</v>
      </c>
      <c r="F237" s="142">
        <v>3</v>
      </c>
      <c r="G237" s="142">
        <v>102</v>
      </c>
      <c r="H237" s="135">
        <v>-100</v>
      </c>
      <c r="I237" s="135">
        <v>-97.06</v>
      </c>
      <c r="J237" s="135">
        <v>0</v>
      </c>
      <c r="K237" s="135">
        <v>0</v>
      </c>
      <c r="L237" s="135">
        <v>0.02</v>
      </c>
      <c r="M237" s="135">
        <v>0.1</v>
      </c>
      <c r="N237" s="55"/>
    </row>
    <row r="238" spans="1:14">
      <c r="A238" s="135">
        <v>197</v>
      </c>
      <c r="B238" s="135" t="s">
        <v>1098</v>
      </c>
      <c r="C238" s="135" t="s">
        <v>19</v>
      </c>
      <c r="D238" s="142">
        <v>1</v>
      </c>
      <c r="E238" s="142">
        <v>1</v>
      </c>
      <c r="F238" s="142">
        <v>3</v>
      </c>
      <c r="G238" s="142">
        <v>4</v>
      </c>
      <c r="H238" s="135">
        <v>0</v>
      </c>
      <c r="I238" s="135">
        <v>-25</v>
      </c>
      <c r="J238" s="135">
        <v>0.01</v>
      </c>
      <c r="K238" s="135">
        <v>0</v>
      </c>
      <c r="L238" s="135">
        <v>0.01</v>
      </c>
      <c r="M238" s="135">
        <v>0</v>
      </c>
      <c r="N238" s="55"/>
    </row>
    <row r="239" spans="1:14">
      <c r="A239" s="135">
        <v>198</v>
      </c>
      <c r="B239" s="135" t="s">
        <v>1102</v>
      </c>
      <c r="C239" s="135" t="s">
        <v>19</v>
      </c>
      <c r="D239" s="142">
        <v>1</v>
      </c>
      <c r="E239" s="142">
        <v>0</v>
      </c>
      <c r="F239" s="142">
        <v>3</v>
      </c>
      <c r="G239" s="142">
        <v>2</v>
      </c>
      <c r="H239" s="135">
        <v>0</v>
      </c>
      <c r="I239" s="135">
        <v>50</v>
      </c>
      <c r="J239" s="135">
        <v>0.01</v>
      </c>
      <c r="K239" s="135">
        <v>0</v>
      </c>
      <c r="L239" s="135">
        <v>0</v>
      </c>
      <c r="M239" s="135">
        <v>0</v>
      </c>
      <c r="N239" s="55"/>
    </row>
    <row r="240" spans="1:14">
      <c r="A240" s="135">
        <v>199</v>
      </c>
      <c r="B240" s="135" t="s">
        <v>230</v>
      </c>
      <c r="C240" s="135" t="s">
        <v>20</v>
      </c>
      <c r="D240" s="142">
        <v>0</v>
      </c>
      <c r="E240" s="142">
        <v>238</v>
      </c>
      <c r="F240" s="142">
        <v>2</v>
      </c>
      <c r="G240" s="142">
        <v>1813</v>
      </c>
      <c r="H240" s="135">
        <v>-100</v>
      </c>
      <c r="I240" s="135">
        <v>-99.89</v>
      </c>
      <c r="J240" s="135">
        <v>0</v>
      </c>
      <c r="K240" s="135">
        <v>0</v>
      </c>
      <c r="L240" s="135">
        <v>1.96</v>
      </c>
      <c r="M240" s="135">
        <v>1.72</v>
      </c>
      <c r="N240" s="55"/>
    </row>
    <row r="241" spans="1:14">
      <c r="A241" s="135">
        <v>200</v>
      </c>
      <c r="B241" s="135" t="s">
        <v>670</v>
      </c>
      <c r="C241" s="135" t="s">
        <v>19</v>
      </c>
      <c r="D241" s="142">
        <v>0</v>
      </c>
      <c r="E241" s="142">
        <v>2</v>
      </c>
      <c r="F241" s="142">
        <v>2</v>
      </c>
      <c r="G241" s="142">
        <v>15</v>
      </c>
      <c r="H241" s="135">
        <v>-100</v>
      </c>
      <c r="I241" s="135">
        <v>-86.67</v>
      </c>
      <c r="J241" s="135">
        <v>0</v>
      </c>
      <c r="K241" s="135">
        <v>0</v>
      </c>
      <c r="L241" s="135">
        <v>0.02</v>
      </c>
      <c r="M241" s="135">
        <v>0.01</v>
      </c>
      <c r="N241" s="55"/>
    </row>
    <row r="242" spans="1:14">
      <c r="A242" s="135">
        <v>201</v>
      </c>
      <c r="B242" s="135" t="s">
        <v>551</v>
      </c>
      <c r="C242" s="135" t="s">
        <v>19</v>
      </c>
      <c r="D242" s="142">
        <v>0</v>
      </c>
      <c r="E242" s="142">
        <v>1</v>
      </c>
      <c r="F242" s="142">
        <v>2</v>
      </c>
      <c r="G242" s="142">
        <v>5</v>
      </c>
      <c r="H242" s="135">
        <v>-100</v>
      </c>
      <c r="I242" s="135">
        <v>-60</v>
      </c>
      <c r="J242" s="135">
        <v>0</v>
      </c>
      <c r="K242" s="135">
        <v>0</v>
      </c>
      <c r="L242" s="135">
        <v>0.01</v>
      </c>
      <c r="M242" s="135">
        <v>0</v>
      </c>
      <c r="N242" s="55"/>
    </row>
    <row r="243" spans="1:14">
      <c r="A243" s="135">
        <v>202</v>
      </c>
      <c r="B243" s="135" t="s">
        <v>486</v>
      </c>
      <c r="C243" s="135" t="s">
        <v>989</v>
      </c>
      <c r="D243" s="142">
        <v>0</v>
      </c>
      <c r="E243" s="142">
        <v>0</v>
      </c>
      <c r="F243" s="142">
        <v>2</v>
      </c>
      <c r="G243" s="142">
        <v>2</v>
      </c>
      <c r="H243" s="135">
        <v>0</v>
      </c>
      <c r="I243" s="135">
        <v>0</v>
      </c>
      <c r="J243" s="135">
        <v>0</v>
      </c>
      <c r="K243" s="135">
        <v>0</v>
      </c>
      <c r="L243" s="135">
        <v>0</v>
      </c>
      <c r="M243" s="135">
        <v>0</v>
      </c>
      <c r="N243" s="55"/>
    </row>
    <row r="244" spans="1:14">
      <c r="A244" s="135">
        <v>203</v>
      </c>
      <c r="B244" s="135" t="s">
        <v>1158</v>
      </c>
      <c r="C244" s="135" t="s">
        <v>20</v>
      </c>
      <c r="D244" s="142">
        <v>0</v>
      </c>
      <c r="E244" s="142">
        <v>0</v>
      </c>
      <c r="F244" s="142">
        <v>2</v>
      </c>
      <c r="G244" s="142">
        <v>1</v>
      </c>
      <c r="H244" s="135">
        <v>0</v>
      </c>
      <c r="I244" s="135">
        <v>100</v>
      </c>
      <c r="J244" s="135">
        <v>0</v>
      </c>
      <c r="K244" s="135">
        <v>0</v>
      </c>
      <c r="L244" s="135">
        <v>0</v>
      </c>
      <c r="M244" s="135">
        <v>0</v>
      </c>
      <c r="N244" s="55"/>
    </row>
    <row r="245" spans="1:14">
      <c r="A245" s="135">
        <v>204</v>
      </c>
      <c r="B245" s="135" t="s">
        <v>1270</v>
      </c>
      <c r="C245" s="135" t="s">
        <v>20</v>
      </c>
      <c r="D245" s="142">
        <v>2</v>
      </c>
      <c r="E245" s="142">
        <v>0</v>
      </c>
      <c r="F245" s="142">
        <v>2</v>
      </c>
      <c r="G245" s="142">
        <v>0</v>
      </c>
      <c r="H245" s="135">
        <v>0</v>
      </c>
      <c r="I245" s="135">
        <v>0</v>
      </c>
      <c r="J245" s="135">
        <v>0.01</v>
      </c>
      <c r="K245" s="135">
        <v>0</v>
      </c>
      <c r="L245" s="135">
        <v>0</v>
      </c>
      <c r="M245" s="135">
        <v>0</v>
      </c>
      <c r="N245" s="55"/>
    </row>
    <row r="246" spans="1:14">
      <c r="A246" s="135">
        <v>205</v>
      </c>
      <c r="B246" s="135" t="s">
        <v>1150</v>
      </c>
      <c r="C246" s="135" t="s">
        <v>20</v>
      </c>
      <c r="D246" s="142">
        <v>0</v>
      </c>
      <c r="E246" s="142">
        <v>0</v>
      </c>
      <c r="F246" s="142">
        <v>2</v>
      </c>
      <c r="G246" s="142">
        <v>0</v>
      </c>
      <c r="H246" s="135">
        <v>0</v>
      </c>
      <c r="I246" s="135">
        <v>0</v>
      </c>
      <c r="J246" s="135">
        <v>0</v>
      </c>
      <c r="K246" s="135">
        <v>0</v>
      </c>
      <c r="L246" s="135">
        <v>0</v>
      </c>
      <c r="M246" s="135">
        <v>0</v>
      </c>
      <c r="N246" s="55"/>
    </row>
    <row r="247" spans="1:14">
      <c r="A247" s="135">
        <v>206</v>
      </c>
      <c r="B247" s="135" t="s">
        <v>1267</v>
      </c>
      <c r="C247" s="135" t="s">
        <v>20</v>
      </c>
      <c r="D247" s="142">
        <v>2</v>
      </c>
      <c r="E247" s="142">
        <v>0</v>
      </c>
      <c r="F247" s="142">
        <v>2</v>
      </c>
      <c r="G247" s="142">
        <v>0</v>
      </c>
      <c r="H247" s="135">
        <v>0</v>
      </c>
      <c r="I247" s="135">
        <v>0</v>
      </c>
      <c r="J247" s="135">
        <v>0.01</v>
      </c>
      <c r="K247" s="135">
        <v>0</v>
      </c>
      <c r="L247" s="135">
        <v>0</v>
      </c>
      <c r="M247" s="135">
        <v>0</v>
      </c>
      <c r="N247" s="55"/>
    </row>
    <row r="248" spans="1:14">
      <c r="A248" s="135">
        <v>207</v>
      </c>
      <c r="B248" s="135" t="s">
        <v>1188</v>
      </c>
      <c r="C248" s="135" t="s">
        <v>19</v>
      </c>
      <c r="D248" s="142">
        <v>0</v>
      </c>
      <c r="E248" s="142">
        <v>0</v>
      </c>
      <c r="F248" s="142">
        <v>2</v>
      </c>
      <c r="G248" s="142">
        <v>0</v>
      </c>
      <c r="H248" s="135">
        <v>0</v>
      </c>
      <c r="I248" s="135">
        <v>0</v>
      </c>
      <c r="J248" s="135">
        <v>0</v>
      </c>
      <c r="K248" s="135">
        <v>0</v>
      </c>
      <c r="L248" s="135">
        <v>0</v>
      </c>
      <c r="M248" s="135">
        <v>0</v>
      </c>
      <c r="N248" s="55"/>
    </row>
    <row r="249" spans="1:14">
      <c r="A249" s="135">
        <v>208</v>
      </c>
      <c r="B249" s="135" t="s">
        <v>1271</v>
      </c>
      <c r="C249" s="135" t="s">
        <v>20</v>
      </c>
      <c r="D249" s="142">
        <v>2</v>
      </c>
      <c r="E249" s="142">
        <v>0</v>
      </c>
      <c r="F249" s="142">
        <v>2</v>
      </c>
      <c r="G249" s="142">
        <v>0</v>
      </c>
      <c r="H249" s="135">
        <v>0</v>
      </c>
      <c r="I249" s="135">
        <v>0</v>
      </c>
      <c r="J249" s="135">
        <v>0.01</v>
      </c>
      <c r="K249" s="135">
        <v>0</v>
      </c>
      <c r="L249" s="135">
        <v>0</v>
      </c>
      <c r="M249" s="135">
        <v>0</v>
      </c>
      <c r="N249" s="55"/>
    </row>
    <row r="250" spans="1:14">
      <c r="A250" s="135">
        <v>209</v>
      </c>
      <c r="B250" s="135" t="s">
        <v>1272</v>
      </c>
      <c r="C250" s="135" t="s">
        <v>19</v>
      </c>
      <c r="D250" s="142">
        <v>2</v>
      </c>
      <c r="E250" s="142">
        <v>0</v>
      </c>
      <c r="F250" s="142">
        <v>2</v>
      </c>
      <c r="G250" s="142">
        <v>0</v>
      </c>
      <c r="H250" s="135">
        <v>0</v>
      </c>
      <c r="I250" s="135">
        <v>0</v>
      </c>
      <c r="J250" s="135">
        <v>0.01</v>
      </c>
      <c r="K250" s="135">
        <v>0</v>
      </c>
      <c r="L250" s="135">
        <v>0</v>
      </c>
      <c r="M250" s="135">
        <v>0</v>
      </c>
      <c r="N250" s="55"/>
    </row>
    <row r="251" spans="1:14">
      <c r="A251" s="135">
        <v>210</v>
      </c>
      <c r="B251" s="135" t="s">
        <v>420</v>
      </c>
      <c r="C251" s="135" t="s">
        <v>19</v>
      </c>
      <c r="D251" s="142">
        <v>0</v>
      </c>
      <c r="E251" s="142">
        <v>16</v>
      </c>
      <c r="F251" s="142">
        <v>1</v>
      </c>
      <c r="G251" s="142">
        <v>206</v>
      </c>
      <c r="H251" s="135">
        <v>-100</v>
      </c>
      <c r="I251" s="135">
        <v>-99.51</v>
      </c>
      <c r="J251" s="135">
        <v>0</v>
      </c>
      <c r="K251" s="135">
        <v>0</v>
      </c>
      <c r="L251" s="135">
        <v>0.13</v>
      </c>
      <c r="M251" s="135">
        <v>0.2</v>
      </c>
      <c r="N251" s="55"/>
    </row>
    <row r="252" spans="1:14">
      <c r="A252" s="135">
        <v>211</v>
      </c>
      <c r="B252" s="135" t="s">
        <v>1097</v>
      </c>
      <c r="C252" s="135" t="s">
        <v>19</v>
      </c>
      <c r="D252" s="142">
        <v>0</v>
      </c>
      <c r="E252" s="142">
        <v>3</v>
      </c>
      <c r="F252" s="142">
        <v>1</v>
      </c>
      <c r="G252" s="142">
        <v>78</v>
      </c>
      <c r="H252" s="135">
        <v>-100</v>
      </c>
      <c r="I252" s="135">
        <v>-98.72</v>
      </c>
      <c r="J252" s="135">
        <v>0</v>
      </c>
      <c r="K252" s="135">
        <v>0</v>
      </c>
      <c r="L252" s="135">
        <v>0.02</v>
      </c>
      <c r="M252" s="135">
        <v>7.0000000000000007E-2</v>
      </c>
      <c r="N252" s="55"/>
    </row>
    <row r="253" spans="1:14">
      <c r="A253" s="135">
        <v>212</v>
      </c>
      <c r="B253" s="135" t="s">
        <v>1100</v>
      </c>
      <c r="C253" s="135" t="s">
        <v>19</v>
      </c>
      <c r="D253" s="142">
        <v>0</v>
      </c>
      <c r="E253" s="142">
        <v>0</v>
      </c>
      <c r="F253" s="142">
        <v>1</v>
      </c>
      <c r="G253" s="142">
        <v>35</v>
      </c>
      <c r="H253" s="135">
        <v>0</v>
      </c>
      <c r="I253" s="135">
        <v>-97.14</v>
      </c>
      <c r="J253" s="135">
        <v>0</v>
      </c>
      <c r="K253" s="135">
        <v>0</v>
      </c>
      <c r="L253" s="135">
        <v>0</v>
      </c>
      <c r="M253" s="135">
        <v>0.03</v>
      </c>
      <c r="N253" s="55"/>
    </row>
    <row r="254" spans="1:14">
      <c r="A254" s="135">
        <v>213</v>
      </c>
      <c r="B254" s="135" t="s">
        <v>170</v>
      </c>
      <c r="C254" s="135" t="s">
        <v>19</v>
      </c>
      <c r="D254" s="142">
        <v>0</v>
      </c>
      <c r="E254" s="142">
        <v>0</v>
      </c>
      <c r="F254" s="142">
        <v>1</v>
      </c>
      <c r="G254" s="142">
        <v>2</v>
      </c>
      <c r="H254" s="135">
        <v>0</v>
      </c>
      <c r="I254" s="135">
        <v>-50</v>
      </c>
      <c r="J254" s="135">
        <v>0</v>
      </c>
      <c r="K254" s="135">
        <v>0</v>
      </c>
      <c r="L254" s="135">
        <v>0</v>
      </c>
      <c r="M254" s="135">
        <v>0</v>
      </c>
      <c r="N254" s="55"/>
    </row>
    <row r="255" spans="1:14">
      <c r="A255" s="135">
        <v>214</v>
      </c>
      <c r="B255" s="135" t="s">
        <v>1135</v>
      </c>
      <c r="C255" s="135" t="s">
        <v>19</v>
      </c>
      <c r="D255" s="142">
        <v>0</v>
      </c>
      <c r="E255" s="142">
        <v>0</v>
      </c>
      <c r="F255" s="142">
        <v>1</v>
      </c>
      <c r="G255" s="142">
        <v>0</v>
      </c>
      <c r="H255" s="135">
        <v>0</v>
      </c>
      <c r="I255" s="135">
        <v>0</v>
      </c>
      <c r="J255" s="135">
        <v>0</v>
      </c>
      <c r="K255" s="135">
        <v>0</v>
      </c>
      <c r="L255" s="135">
        <v>0</v>
      </c>
      <c r="M255" s="135">
        <v>0</v>
      </c>
      <c r="N255" s="55"/>
    </row>
    <row r="256" spans="1:14">
      <c r="A256" s="135">
        <v>215</v>
      </c>
      <c r="B256" s="135" t="s">
        <v>1217</v>
      </c>
      <c r="C256" s="135" t="s">
        <v>19</v>
      </c>
      <c r="D256" s="142">
        <v>0</v>
      </c>
      <c r="E256" s="142">
        <v>0</v>
      </c>
      <c r="F256" s="142">
        <v>1</v>
      </c>
      <c r="G256" s="142">
        <v>0</v>
      </c>
      <c r="H256" s="135">
        <v>0</v>
      </c>
      <c r="I256" s="135">
        <v>0</v>
      </c>
      <c r="J256" s="135">
        <v>0</v>
      </c>
      <c r="K256" s="135">
        <v>0</v>
      </c>
      <c r="L256" s="135">
        <v>0</v>
      </c>
      <c r="M256" s="135">
        <v>0</v>
      </c>
      <c r="N256" s="55"/>
    </row>
    <row r="257" spans="1:14">
      <c r="A257" s="135">
        <v>216</v>
      </c>
      <c r="B257" s="135" t="s">
        <v>559</v>
      </c>
      <c r="C257" s="135" t="s">
        <v>20</v>
      </c>
      <c r="D257" s="142">
        <v>0</v>
      </c>
      <c r="E257" s="142">
        <v>3</v>
      </c>
      <c r="F257" s="142">
        <v>0</v>
      </c>
      <c r="G257" s="142">
        <v>60</v>
      </c>
      <c r="H257" s="135">
        <v>-100</v>
      </c>
      <c r="I257" s="135">
        <v>-100</v>
      </c>
      <c r="J257" s="135">
        <v>0</v>
      </c>
      <c r="K257" s="135">
        <v>0</v>
      </c>
      <c r="L257" s="135">
        <v>0.02</v>
      </c>
      <c r="M257" s="135">
        <v>0.06</v>
      </c>
      <c r="N257" s="55"/>
    </row>
    <row r="258" spans="1:14">
      <c r="A258" s="135">
        <v>217</v>
      </c>
      <c r="B258" s="135" t="s">
        <v>233</v>
      </c>
      <c r="C258" s="135" t="s">
        <v>19</v>
      </c>
      <c r="D258" s="142">
        <v>0</v>
      </c>
      <c r="E258" s="142">
        <v>5</v>
      </c>
      <c r="F258" s="142">
        <v>0</v>
      </c>
      <c r="G258" s="142">
        <v>44</v>
      </c>
      <c r="H258" s="135">
        <v>-100</v>
      </c>
      <c r="I258" s="135">
        <v>-100</v>
      </c>
      <c r="J258" s="135">
        <v>0</v>
      </c>
      <c r="K258" s="135">
        <v>0</v>
      </c>
      <c r="L258" s="135">
        <v>0.04</v>
      </c>
      <c r="M258" s="135">
        <v>0.04</v>
      </c>
      <c r="N258" s="55"/>
    </row>
    <row r="259" spans="1:14">
      <c r="A259" s="135">
        <v>218</v>
      </c>
      <c r="B259" s="135" t="s">
        <v>353</v>
      </c>
      <c r="C259" s="135" t="s">
        <v>19</v>
      </c>
      <c r="D259" s="142">
        <v>0</v>
      </c>
      <c r="E259" s="142">
        <v>0</v>
      </c>
      <c r="F259" s="142">
        <v>0</v>
      </c>
      <c r="G259" s="142">
        <v>18</v>
      </c>
      <c r="H259" s="135">
        <v>0</v>
      </c>
      <c r="I259" s="135">
        <v>-100</v>
      </c>
      <c r="J259" s="135">
        <v>0</v>
      </c>
      <c r="K259" s="135">
        <v>0</v>
      </c>
      <c r="L259" s="135">
        <v>0</v>
      </c>
      <c r="M259" s="135">
        <v>0.02</v>
      </c>
      <c r="N259" s="55"/>
    </row>
    <row r="260" spans="1:14">
      <c r="A260" s="135">
        <v>219</v>
      </c>
      <c r="B260" s="135" t="s">
        <v>349</v>
      </c>
      <c r="C260" s="135" t="s">
        <v>19</v>
      </c>
      <c r="D260" s="142">
        <v>0</v>
      </c>
      <c r="E260" s="142">
        <v>0</v>
      </c>
      <c r="F260" s="142">
        <v>0</v>
      </c>
      <c r="G260" s="142">
        <v>11</v>
      </c>
      <c r="H260" s="135">
        <v>0</v>
      </c>
      <c r="I260" s="135">
        <v>-100</v>
      </c>
      <c r="J260" s="135">
        <v>0</v>
      </c>
      <c r="K260" s="135">
        <v>0</v>
      </c>
      <c r="L260" s="135">
        <v>0</v>
      </c>
      <c r="M260" s="135">
        <v>0.01</v>
      </c>
      <c r="N260" s="55"/>
    </row>
    <row r="261" spans="1:14">
      <c r="A261" s="135">
        <v>220</v>
      </c>
      <c r="B261" s="135" t="s">
        <v>381</v>
      </c>
      <c r="C261" s="135" t="s">
        <v>19</v>
      </c>
      <c r="D261" s="142">
        <v>0</v>
      </c>
      <c r="E261" s="142">
        <v>0</v>
      </c>
      <c r="F261" s="142">
        <v>0</v>
      </c>
      <c r="G261" s="142">
        <v>10</v>
      </c>
      <c r="H261" s="135">
        <v>0</v>
      </c>
      <c r="I261" s="135">
        <v>-100</v>
      </c>
      <c r="J261" s="135">
        <v>0</v>
      </c>
      <c r="K261" s="135">
        <v>0</v>
      </c>
      <c r="L261" s="135">
        <v>0</v>
      </c>
      <c r="M261" s="135">
        <v>0.01</v>
      </c>
      <c r="N261" s="55"/>
    </row>
    <row r="262" spans="1:14">
      <c r="A262" s="135">
        <v>221</v>
      </c>
      <c r="B262" s="135" t="s">
        <v>402</v>
      </c>
      <c r="C262" s="135" t="s">
        <v>1062</v>
      </c>
      <c r="D262" s="142">
        <v>0</v>
      </c>
      <c r="E262" s="142">
        <v>0</v>
      </c>
      <c r="F262" s="142">
        <v>0</v>
      </c>
      <c r="G262" s="142">
        <v>8</v>
      </c>
      <c r="H262" s="135">
        <v>0</v>
      </c>
      <c r="I262" s="135">
        <v>-100</v>
      </c>
      <c r="J262" s="135">
        <v>0</v>
      </c>
      <c r="K262" s="135">
        <v>0</v>
      </c>
      <c r="L262" s="135">
        <v>0</v>
      </c>
      <c r="M262" s="135">
        <v>0.01</v>
      </c>
      <c r="N262" s="55"/>
    </row>
    <row r="263" spans="1:14">
      <c r="A263" s="135">
        <v>222</v>
      </c>
      <c r="B263" s="135" t="s">
        <v>204</v>
      </c>
      <c r="C263" s="135" t="s">
        <v>19</v>
      </c>
      <c r="D263" s="142">
        <v>0</v>
      </c>
      <c r="E263" s="142">
        <v>2</v>
      </c>
      <c r="F263" s="142">
        <v>0</v>
      </c>
      <c r="G263" s="142">
        <v>8</v>
      </c>
      <c r="H263" s="135">
        <v>-100</v>
      </c>
      <c r="I263" s="135">
        <v>-100</v>
      </c>
      <c r="J263" s="135">
        <v>0</v>
      </c>
      <c r="K263" s="135">
        <v>0</v>
      </c>
      <c r="L263" s="135">
        <v>0.02</v>
      </c>
      <c r="M263" s="135">
        <v>0.01</v>
      </c>
    </row>
    <row r="264" spans="1:14">
      <c r="A264" s="135">
        <v>223</v>
      </c>
      <c r="B264" s="135" t="s">
        <v>1152</v>
      </c>
      <c r="C264" s="135" t="s">
        <v>20</v>
      </c>
      <c r="D264" s="142">
        <v>0</v>
      </c>
      <c r="E264" s="142">
        <v>0</v>
      </c>
      <c r="F264" s="142">
        <v>0</v>
      </c>
      <c r="G264" s="142">
        <v>7</v>
      </c>
      <c r="H264" s="135">
        <v>0</v>
      </c>
      <c r="I264" s="135">
        <v>-100</v>
      </c>
      <c r="J264" s="135">
        <v>0</v>
      </c>
      <c r="K264" s="135">
        <v>0</v>
      </c>
      <c r="L264" s="135">
        <v>0</v>
      </c>
      <c r="M264" s="135">
        <v>0.01</v>
      </c>
    </row>
    <row r="265" spans="1:14">
      <c r="A265" s="135">
        <v>224</v>
      </c>
      <c r="B265" s="135" t="s">
        <v>1160</v>
      </c>
      <c r="C265" s="135" t="s">
        <v>19</v>
      </c>
      <c r="D265" s="142">
        <v>0</v>
      </c>
      <c r="E265" s="142">
        <v>0</v>
      </c>
      <c r="F265" s="142">
        <v>0</v>
      </c>
      <c r="G265" s="142">
        <v>6</v>
      </c>
      <c r="H265" s="135">
        <v>0</v>
      </c>
      <c r="I265" s="135">
        <v>-100</v>
      </c>
      <c r="J265" s="135">
        <v>0</v>
      </c>
      <c r="K265" s="135">
        <v>0</v>
      </c>
      <c r="L265" s="135">
        <v>0</v>
      </c>
      <c r="M265" s="135">
        <v>0.01</v>
      </c>
    </row>
    <row r="266" spans="1:14">
      <c r="A266" s="135">
        <v>225</v>
      </c>
      <c r="B266" s="135" t="s">
        <v>1136</v>
      </c>
      <c r="C266" s="135" t="s">
        <v>19</v>
      </c>
      <c r="D266" s="142">
        <v>0</v>
      </c>
      <c r="E266" s="142">
        <v>0</v>
      </c>
      <c r="F266" s="142">
        <v>0</v>
      </c>
      <c r="G266" s="142">
        <v>4</v>
      </c>
      <c r="H266" s="135">
        <v>0</v>
      </c>
      <c r="I266" s="135">
        <v>-100</v>
      </c>
      <c r="J266" s="135">
        <v>0</v>
      </c>
      <c r="K266" s="135">
        <v>0</v>
      </c>
      <c r="L266" s="135">
        <v>0</v>
      </c>
      <c r="M266" s="135">
        <v>0</v>
      </c>
    </row>
    <row r="267" spans="1:14">
      <c r="A267" s="135">
        <v>226</v>
      </c>
      <c r="B267" s="135" t="s">
        <v>1101</v>
      </c>
      <c r="C267" s="135" t="s">
        <v>19</v>
      </c>
      <c r="D267" s="142">
        <v>0</v>
      </c>
      <c r="E267" s="142">
        <v>0</v>
      </c>
      <c r="F267" s="142">
        <v>0</v>
      </c>
      <c r="G267" s="142">
        <v>3</v>
      </c>
      <c r="H267" s="135">
        <v>0</v>
      </c>
      <c r="I267" s="135">
        <v>-100</v>
      </c>
      <c r="J267" s="135">
        <v>0</v>
      </c>
      <c r="K267" s="135">
        <v>0</v>
      </c>
      <c r="L267" s="135">
        <v>0</v>
      </c>
      <c r="M267" s="135">
        <v>0</v>
      </c>
    </row>
    <row r="268" spans="1:14">
      <c r="A268" s="135">
        <v>227</v>
      </c>
      <c r="B268" s="135" t="s">
        <v>1218</v>
      </c>
      <c r="C268" s="135" t="s">
        <v>239</v>
      </c>
      <c r="D268" s="142">
        <v>0</v>
      </c>
      <c r="E268" s="142">
        <v>0</v>
      </c>
      <c r="F268" s="142">
        <v>0</v>
      </c>
      <c r="G268" s="142">
        <v>2</v>
      </c>
      <c r="H268" s="135">
        <v>0</v>
      </c>
      <c r="I268" s="135">
        <v>-100</v>
      </c>
      <c r="J268" s="135">
        <v>0</v>
      </c>
      <c r="K268" s="135">
        <v>0</v>
      </c>
      <c r="L268" s="135">
        <v>0</v>
      </c>
      <c r="M268" s="135">
        <v>0</v>
      </c>
    </row>
    <row r="269" spans="1:14">
      <c r="A269" s="135">
        <v>228</v>
      </c>
      <c r="B269" s="135" t="s">
        <v>436</v>
      </c>
      <c r="C269" s="135" t="s">
        <v>20</v>
      </c>
      <c r="D269" s="142">
        <v>28</v>
      </c>
      <c r="E269" s="142">
        <v>19</v>
      </c>
      <c r="F269" s="142">
        <v>129</v>
      </c>
      <c r="G269" s="142">
        <v>123</v>
      </c>
      <c r="H269" s="135">
        <v>47.37</v>
      </c>
      <c r="I269" s="135">
        <v>4.88</v>
      </c>
      <c r="J269" s="135">
        <v>0.16</v>
      </c>
      <c r="K269" s="135">
        <v>0.1</v>
      </c>
      <c r="L269" s="135">
        <v>0.16</v>
      </c>
      <c r="M269" s="135">
        <v>0.12</v>
      </c>
    </row>
    <row r="270" spans="1:14">
      <c r="A270" s="135"/>
      <c r="B270" s="135" t="s">
        <v>454</v>
      </c>
      <c r="C270" s="135"/>
      <c r="D270" s="142">
        <f>SUBTOTAL(109,getAggRechargeModels[antalPerioden])</f>
        <v>17837</v>
      </c>
      <c r="E270" s="142">
        <f>SUBTOTAL(109,getAggRechargeModels[antalFGPeriod])</f>
        <v>12147</v>
      </c>
      <c r="F270" s="142">
        <f>SUBTOTAL(109,getAggRechargeModels[antalÅret])</f>
        <v>124126</v>
      </c>
      <c r="G270" s="142">
        <f>SUBTOTAL(109,getAggRechargeModels[antalFGAr])</f>
        <v>105370</v>
      </c>
      <c r="H270" s="137">
        <f>IF(getAggRechargeModels[[#Totals],[antalFGPeriod]] &gt;0,(getAggRechargeModels[[#Totals],[antalPerioden]] - getAggRechargeModels[[#Totals],[antalFGPeriod]] ) / getAggRechargeModels[[#Totals],[antalFGPeriod]] *100,0)</f>
        <v>46.842841853955704</v>
      </c>
      <c r="I270" s="137">
        <f>IF(getAggRechargeModels[[#Totals],[antalFGAr]] &gt; 0,( getAggRechargeModels[[#Totals],[antalÅret]] - getAggRechargeModels[[#Totals],[antalFGAr]] ) / getAggRechargeModels[[#Totals],[antalFGAr]] * 100,0)</f>
        <v>17.800132865141883</v>
      </c>
      <c r="J270" s="143">
        <f>IF(getAggModelsPB[[#Totals],[antalPerioden]] &gt; 0,getAggRechargeModels[[#Totals],[antalPerioden]]  / getAggModelsPB[[#Totals],[antalPerioden]] * 100,0)</f>
        <v>63.397902967833666</v>
      </c>
      <c r="K270" s="143">
        <f>IF(getAggModelsPB[[#Totals],[antalÅret]] &gt; 0,getAggRechargeModels[[#Totals],[antalÅret]]  / getAggModelsPB[[#Totals],[antalÅret]] * 100,0)</f>
        <v>59.116345746276835</v>
      </c>
      <c r="L270" s="143">
        <f>IF(getAggModelsPB[[#Totals],[antalFGPeriod]] &gt; 0,getAggRechargeModels[[#Totals],[antalFGPeriod]]  / getAggModelsPB[[#Totals],[antalFGPeriod]] * 100,0)</f>
        <v>55.093432510885343</v>
      </c>
      <c r="M270" s="143">
        <f>IF(getAggModelsPB[[#Totals],[antalFGAr]] &gt; 0,getAggRechargeModels[[#Totals],[antalFGAr]]  / getAggModelsPB[[#Totals],[antalFGAr]] * 100,0)</f>
        <v>51.49042220484754</v>
      </c>
    </row>
    <row r="273" spans="1:1">
      <c r="A273" t="s">
        <v>678</v>
      </c>
    </row>
  </sheetData>
  <mergeCells count="6">
    <mergeCell ref="H38:M38"/>
    <mergeCell ref="D39:E39"/>
    <mergeCell ref="L39:M39"/>
    <mergeCell ref="J39:K39"/>
    <mergeCell ref="H39:I39"/>
    <mergeCell ref="F39:G39"/>
  </mergeCells>
  <dataValidations count="3">
    <dataValidation allowBlank="1" showInputMessage="1" showErrorMessage="1" prompt="förändring i antalet registreringar ackumulerat från årets början t.o.m den aktuella månaden." sqref="I40" xr:uid="{00000000-0002-0000-0600-000000000000}"/>
    <dataValidation allowBlank="1" showInputMessage="1" showErrorMessage="1" prompt="visar antalet registreringar för den aktuella månaden i år." sqref="D40:G40" xr:uid="{00000000-0002-0000-0600-000001000000}"/>
    <dataValidation allowBlank="1" showInputMessage="1" showErrorMessage="1" prompt="förändring i marknads-andelen ackumulerat från årets början t.o.m den aktuella månaden." sqref="K40 B40" xr:uid="{00000000-0002-0000-0600-000002000000}"/>
  </dataValidations>
  <pageMargins left="0.70866141732283472" right="0.70866141732283472" top="0.74803149606299213" bottom="0.74803149606299213" header="0.31496062992125984" footer="0.31496062992125984"/>
  <pageSetup paperSize="9" fitToHeight="0"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0"/>
  <dimension ref="A2:U271"/>
  <sheetViews>
    <sheetView topLeftCell="A13" workbookViewId="0">
      <selection activeCell="P26" sqref="P26"/>
    </sheetView>
  </sheetViews>
  <sheetFormatPr baseColWidth="10" defaultColWidth="8.83203125" defaultRowHeight="15"/>
  <cols>
    <col min="1" max="1" width="4.33203125" customWidth="1"/>
    <col min="2" max="2" width="26.5" customWidth="1"/>
    <col min="3" max="3" width="4" customWidth="1"/>
    <col min="8" max="8" width="9.6640625" customWidth="1"/>
    <col min="9" max="9" width="9.83203125" customWidth="1"/>
  </cols>
  <sheetData>
    <row r="2" spans="15:21" ht="21" thickBot="1">
      <c r="O2" s="66" t="s">
        <v>613</v>
      </c>
      <c r="P2" s="66"/>
      <c r="Q2" s="66"/>
      <c r="R2" s="66"/>
      <c r="S2" s="66"/>
      <c r="T2" s="9"/>
      <c r="U2" s="9"/>
    </row>
    <row r="3" spans="15:21">
      <c r="O3" s="25" t="s">
        <v>614</v>
      </c>
      <c r="P3" s="25"/>
      <c r="Q3" s="25"/>
      <c r="R3" s="25"/>
      <c r="S3" s="25"/>
      <c r="T3" s="25"/>
    </row>
    <row r="4" spans="15:21">
      <c r="O4" s="6"/>
      <c r="P4" s="6"/>
      <c r="Q4" s="16"/>
      <c r="R4" s="16"/>
      <c r="S4" s="16"/>
      <c r="T4" s="16"/>
    </row>
    <row r="5" spans="15:21" ht="16" thickBot="1">
      <c r="O5" s="19" t="s">
        <v>455</v>
      </c>
      <c r="P5" s="19">
        <v>2021</v>
      </c>
      <c r="Q5" s="19">
        <v>2022</v>
      </c>
      <c r="R5" s="19">
        <v>2023</v>
      </c>
      <c r="S5" s="25"/>
      <c r="T5" s="25"/>
    </row>
    <row r="6" spans="15:21">
      <c r="O6" s="16" t="s">
        <v>2</v>
      </c>
      <c r="P6" s="30">
        <v>1106</v>
      </c>
      <c r="Q6" s="30">
        <v>5159</v>
      </c>
      <c r="R6" s="30">
        <v>4199</v>
      </c>
      <c r="S6" s="25"/>
      <c r="T6" s="25"/>
    </row>
    <row r="7" spans="15:21">
      <c r="O7" s="16" t="s">
        <v>3</v>
      </c>
      <c r="P7" s="31">
        <v>1394</v>
      </c>
      <c r="Q7" s="31">
        <v>5413</v>
      </c>
      <c r="R7" s="31">
        <v>6124</v>
      </c>
      <c r="S7" s="25"/>
      <c r="T7" s="25"/>
    </row>
    <row r="8" spans="15:21">
      <c r="O8" s="16" t="s">
        <v>4</v>
      </c>
      <c r="P8" s="34">
        <v>2609</v>
      </c>
      <c r="Q8" s="34">
        <v>9142</v>
      </c>
      <c r="R8" s="34">
        <v>12577</v>
      </c>
      <c r="S8" s="25"/>
      <c r="T8" s="25"/>
    </row>
    <row r="9" spans="15:21">
      <c r="O9" s="16" t="s">
        <v>5</v>
      </c>
      <c r="P9" s="31">
        <v>4869</v>
      </c>
      <c r="Q9" s="31">
        <v>5421</v>
      </c>
      <c r="R9" s="31">
        <v>6928</v>
      </c>
      <c r="S9" s="25"/>
      <c r="T9" s="25"/>
    </row>
    <row r="10" spans="15:21">
      <c r="O10" s="16" t="s">
        <v>6</v>
      </c>
      <c r="P10" s="34">
        <v>3953</v>
      </c>
      <c r="Q10" s="34">
        <v>6383</v>
      </c>
      <c r="R10" s="34">
        <v>11657</v>
      </c>
      <c r="S10" s="25"/>
      <c r="T10" s="25"/>
    </row>
    <row r="11" spans="15:21">
      <c r="O11" s="16" t="s">
        <v>7</v>
      </c>
      <c r="P11" s="31">
        <v>8687</v>
      </c>
      <c r="Q11" s="31">
        <v>8237</v>
      </c>
      <c r="R11" s="31">
        <v>10956</v>
      </c>
      <c r="S11" s="25"/>
      <c r="T11" s="25"/>
    </row>
    <row r="12" spans="15:21">
      <c r="O12" s="16" t="s">
        <v>8</v>
      </c>
      <c r="P12" s="34">
        <v>2535</v>
      </c>
      <c r="Q12" s="34">
        <v>4677</v>
      </c>
      <c r="R12" s="34">
        <v>6487</v>
      </c>
      <c r="S12" s="25"/>
      <c r="T12" s="25"/>
    </row>
    <row r="13" spans="15:21">
      <c r="O13" s="16" t="s">
        <v>9</v>
      </c>
      <c r="P13" s="34">
        <v>4781</v>
      </c>
      <c r="Q13" s="34">
        <v>5813</v>
      </c>
      <c r="R13" s="34">
        <v>9784</v>
      </c>
      <c r="S13" s="25"/>
      <c r="T13" s="25"/>
    </row>
    <row r="14" spans="15:21">
      <c r="O14" s="16" t="s">
        <v>10</v>
      </c>
      <c r="P14" s="34">
        <v>7454</v>
      </c>
      <c r="Q14" s="34">
        <v>7777</v>
      </c>
      <c r="R14" s="34">
        <v>12500</v>
      </c>
      <c r="S14" s="25"/>
      <c r="T14" s="25"/>
    </row>
    <row r="15" spans="15:21">
      <c r="O15" s="16" t="s">
        <v>11</v>
      </c>
      <c r="P15" s="34">
        <v>4573</v>
      </c>
      <c r="Q15" s="34">
        <v>7940</v>
      </c>
      <c r="R15" s="34"/>
      <c r="S15" s="25"/>
      <c r="T15" s="25"/>
    </row>
    <row r="16" spans="15:21">
      <c r="O16" s="16" t="s">
        <v>12</v>
      </c>
      <c r="P16" s="34">
        <v>5468</v>
      </c>
      <c r="Q16" s="34">
        <v>10868</v>
      </c>
      <c r="R16" s="34"/>
      <c r="S16" s="25"/>
      <c r="T16" s="25"/>
    </row>
    <row r="17" spans="15:20">
      <c r="O17" s="26" t="s">
        <v>13</v>
      </c>
      <c r="P17" s="133">
        <v>10041</v>
      </c>
      <c r="Q17" s="133">
        <v>18205</v>
      </c>
      <c r="R17" s="133"/>
      <c r="S17" s="25"/>
      <c r="T17" s="25"/>
    </row>
    <row r="18" spans="15:20">
      <c r="O18" s="6" t="s">
        <v>534</v>
      </c>
      <c r="P18" s="32">
        <f>SUMIF(R6:R17,"&gt;0",P6:P17)</f>
        <v>37388</v>
      </c>
      <c r="Q18" s="32">
        <f>SUMIF(R6:R17,"&gt;0",Q6:Q17)</f>
        <v>58022</v>
      </c>
      <c r="R18" s="32">
        <f>SUM(R6:R17)</f>
        <v>81212</v>
      </c>
      <c r="S18" s="25"/>
      <c r="T18" s="25"/>
    </row>
    <row r="19" spans="15:20">
      <c r="O19" s="6" t="s">
        <v>533</v>
      </c>
      <c r="P19" s="29">
        <f>SUM(P6:P17)</f>
        <v>57470</v>
      </c>
      <c r="Q19" s="29">
        <f>SUM(Q6:Q17)</f>
        <v>95035</v>
      </c>
      <c r="R19" s="25"/>
      <c r="S19" s="25"/>
      <c r="T19" s="25"/>
    </row>
    <row r="21" spans="15:20">
      <c r="O21" t="s">
        <v>1327</v>
      </c>
    </row>
    <row r="34" spans="1:14" ht="21" thickBot="1">
      <c r="A34" s="66" t="s">
        <v>661</v>
      </c>
      <c r="B34" s="66"/>
      <c r="C34" s="9"/>
      <c r="F34" s="275" t="s">
        <v>1329</v>
      </c>
    </row>
    <row r="35" spans="1:14" ht="20">
      <c r="A35" s="9"/>
    </row>
    <row r="36" spans="1:14">
      <c r="A36" s="7" t="s">
        <v>451</v>
      </c>
      <c r="B36" s="55"/>
      <c r="C36" s="55"/>
      <c r="D36" s="55"/>
      <c r="E36" s="55"/>
      <c r="F36" s="55"/>
      <c r="G36" s="55"/>
      <c r="H36" s="258" t="s">
        <v>452</v>
      </c>
      <c r="I36" s="258"/>
      <c r="J36" s="258"/>
      <c r="K36" s="258"/>
      <c r="L36" s="258"/>
      <c r="M36" s="258"/>
      <c r="N36" s="55"/>
    </row>
    <row r="37" spans="1:14">
      <c r="A37" s="103"/>
      <c r="B37" s="114"/>
      <c r="C37" s="114"/>
      <c r="D37" s="259" t="s">
        <v>535</v>
      </c>
      <c r="E37" s="260"/>
      <c r="F37" s="261" t="s">
        <v>535</v>
      </c>
      <c r="G37" s="262"/>
      <c r="H37" s="261" t="s">
        <v>536</v>
      </c>
      <c r="I37" s="262"/>
      <c r="J37" s="261" t="s">
        <v>537</v>
      </c>
      <c r="K37" s="262"/>
      <c r="L37" s="261" t="s">
        <v>537</v>
      </c>
      <c r="M37" s="262"/>
      <c r="N37" s="55"/>
    </row>
    <row r="38" spans="1:14">
      <c r="A38" s="103"/>
      <c r="B38" s="115" t="s">
        <v>453</v>
      </c>
      <c r="C38" s="116" t="s">
        <v>539</v>
      </c>
      <c r="D38" s="117" t="str">
        <f>Innehåll!D79</f>
        <v xml:space="preserve"> 2023-09</v>
      </c>
      <c r="E38" s="117" t="str">
        <f>Innehåll!D80</f>
        <v xml:space="preserve"> 2022-09</v>
      </c>
      <c r="F38" s="117" t="str">
        <f>Innehåll!D81</f>
        <v>YTD  2023</v>
      </c>
      <c r="G38" s="117" t="str">
        <f>Innehåll!D82</f>
        <v>YTD  2022</v>
      </c>
      <c r="H38" s="117" t="str">
        <f>D38</f>
        <v xml:space="preserve"> 2023-09</v>
      </c>
      <c r="I38" s="118" t="str">
        <f>F38</f>
        <v>YTD  2023</v>
      </c>
      <c r="J38" s="117" t="str">
        <f>D38</f>
        <v xml:space="preserve"> 2023-09</v>
      </c>
      <c r="K38" s="119" t="str">
        <f>F38</f>
        <v>YTD  2023</v>
      </c>
      <c r="L38" s="120" t="str">
        <f>E38</f>
        <v xml:space="preserve"> 2022-09</v>
      </c>
      <c r="M38" s="120" t="str">
        <f>G38</f>
        <v>YTD  2022</v>
      </c>
      <c r="N38" s="55"/>
    </row>
    <row r="39" spans="1:14" ht="15" hidden="1" customHeight="1">
      <c r="A39" s="55" t="s">
        <v>24</v>
      </c>
      <c r="B39" s="55" t="s">
        <v>225</v>
      </c>
      <c r="C39" s="55" t="s">
        <v>226</v>
      </c>
      <c r="D39" s="55" t="s">
        <v>26</v>
      </c>
      <c r="E39" s="55" t="s">
        <v>27</v>
      </c>
      <c r="F39" s="55" t="s">
        <v>28</v>
      </c>
      <c r="G39" s="55" t="s">
        <v>29</v>
      </c>
      <c r="H39" s="55" t="s">
        <v>30</v>
      </c>
      <c r="I39" s="55" t="s">
        <v>31</v>
      </c>
      <c r="J39" s="55" t="s">
        <v>32</v>
      </c>
      <c r="K39" s="55" t="s">
        <v>33</v>
      </c>
      <c r="L39" s="55" t="s">
        <v>34</v>
      </c>
      <c r="M39" s="55" t="s">
        <v>35</v>
      </c>
      <c r="N39" s="55"/>
    </row>
    <row r="40" spans="1:14">
      <c r="A40" s="55">
        <v>1</v>
      </c>
      <c r="B40" s="55" t="s">
        <v>600</v>
      </c>
      <c r="C40" s="55" t="s">
        <v>20</v>
      </c>
      <c r="D40" s="22">
        <v>3050</v>
      </c>
      <c r="E40" s="22">
        <v>431</v>
      </c>
      <c r="F40" s="22">
        <v>13457</v>
      </c>
      <c r="G40" s="22">
        <v>4891</v>
      </c>
      <c r="H40" s="55">
        <v>607.66</v>
      </c>
      <c r="I40" s="55">
        <v>175.14</v>
      </c>
      <c r="J40" s="55">
        <v>17.100000000000001</v>
      </c>
      <c r="K40" s="55">
        <v>10.84</v>
      </c>
      <c r="L40" s="55">
        <v>3.55</v>
      </c>
      <c r="M40" s="55">
        <v>4.6399999999999997</v>
      </c>
      <c r="N40" s="55"/>
    </row>
    <row r="41" spans="1:14">
      <c r="A41" s="55">
        <v>2</v>
      </c>
      <c r="B41" s="55" t="s">
        <v>478</v>
      </c>
      <c r="C41" s="55" t="s">
        <v>20</v>
      </c>
      <c r="D41" s="22">
        <v>1229</v>
      </c>
      <c r="E41" s="22">
        <v>595</v>
      </c>
      <c r="F41" s="22">
        <v>7755</v>
      </c>
      <c r="G41" s="22">
        <v>5624</v>
      </c>
      <c r="H41" s="55">
        <v>106.55</v>
      </c>
      <c r="I41" s="55">
        <v>37.89</v>
      </c>
      <c r="J41" s="55">
        <v>6.89</v>
      </c>
      <c r="K41" s="55">
        <v>6.25</v>
      </c>
      <c r="L41" s="55">
        <v>4.9000000000000004</v>
      </c>
      <c r="M41" s="55">
        <v>5.34</v>
      </c>
      <c r="N41" s="55"/>
    </row>
    <row r="42" spans="1:14">
      <c r="A42" s="55">
        <v>3</v>
      </c>
      <c r="B42" s="55" t="s">
        <v>422</v>
      </c>
      <c r="C42" s="55" t="s">
        <v>20</v>
      </c>
      <c r="D42" s="22">
        <v>896</v>
      </c>
      <c r="E42" s="22">
        <v>566</v>
      </c>
      <c r="F42" s="22">
        <v>6456</v>
      </c>
      <c r="G42" s="22">
        <v>2872</v>
      </c>
      <c r="H42" s="55">
        <v>58.3</v>
      </c>
      <c r="I42" s="55">
        <v>124.79</v>
      </c>
      <c r="J42" s="55">
        <v>5.0199999999999996</v>
      </c>
      <c r="K42" s="55">
        <v>5.2</v>
      </c>
      <c r="L42" s="55">
        <v>4.66</v>
      </c>
      <c r="M42" s="55">
        <v>2.73</v>
      </c>
      <c r="N42" s="55"/>
    </row>
    <row r="43" spans="1:14" hidden="1">
      <c r="A43" s="55">
        <v>4</v>
      </c>
      <c r="B43" s="55" t="s">
        <v>392</v>
      </c>
      <c r="C43" s="55" t="s">
        <v>19</v>
      </c>
      <c r="D43" s="22">
        <v>609</v>
      </c>
      <c r="E43" s="22">
        <v>358</v>
      </c>
      <c r="F43" s="22">
        <v>6221</v>
      </c>
      <c r="G43" s="22">
        <v>4104</v>
      </c>
      <c r="H43" s="55">
        <v>70.11</v>
      </c>
      <c r="I43" s="55">
        <v>51.58</v>
      </c>
      <c r="J43" s="55">
        <v>3.41</v>
      </c>
      <c r="K43" s="55">
        <v>5.01</v>
      </c>
      <c r="L43" s="55">
        <v>2.95</v>
      </c>
      <c r="M43" s="55">
        <v>3.89</v>
      </c>
      <c r="N43" s="55"/>
    </row>
    <row r="44" spans="1:14">
      <c r="A44" s="55">
        <v>5</v>
      </c>
      <c r="B44" s="55" t="s">
        <v>628</v>
      </c>
      <c r="C44" s="55" t="s">
        <v>20</v>
      </c>
      <c r="D44" s="22">
        <v>291</v>
      </c>
      <c r="E44" s="22">
        <v>295</v>
      </c>
      <c r="F44" s="22">
        <v>3549</v>
      </c>
      <c r="G44" s="22">
        <v>2713</v>
      </c>
      <c r="H44" s="55">
        <v>-1.36</v>
      </c>
      <c r="I44" s="55">
        <v>30.81</v>
      </c>
      <c r="J44" s="55">
        <v>1.63</v>
      </c>
      <c r="K44" s="55">
        <v>2.86</v>
      </c>
      <c r="L44" s="55">
        <v>2.4300000000000002</v>
      </c>
      <c r="M44" s="55">
        <v>2.57</v>
      </c>
      <c r="N44" s="55"/>
    </row>
    <row r="45" spans="1:14">
      <c r="A45" s="55">
        <v>6</v>
      </c>
      <c r="B45" s="55" t="s">
        <v>567</v>
      </c>
      <c r="C45" s="55" t="s">
        <v>20</v>
      </c>
      <c r="D45" s="22">
        <v>632</v>
      </c>
      <c r="E45" s="22">
        <v>491</v>
      </c>
      <c r="F45" s="22">
        <v>3442</v>
      </c>
      <c r="G45" s="22">
        <v>2886</v>
      </c>
      <c r="H45" s="55">
        <v>28.72</v>
      </c>
      <c r="I45" s="55">
        <v>19.27</v>
      </c>
      <c r="J45" s="55">
        <v>3.54</v>
      </c>
      <c r="K45" s="55">
        <v>2.77</v>
      </c>
      <c r="L45" s="55">
        <v>4.04</v>
      </c>
      <c r="M45" s="55">
        <v>2.74</v>
      </c>
      <c r="N45" s="55"/>
    </row>
    <row r="46" spans="1:14" hidden="1">
      <c r="A46" s="55">
        <v>7</v>
      </c>
      <c r="B46" s="55" t="s">
        <v>687</v>
      </c>
      <c r="C46" s="55" t="s">
        <v>19</v>
      </c>
      <c r="D46" s="22">
        <v>408</v>
      </c>
      <c r="E46" s="22">
        <v>388</v>
      </c>
      <c r="F46" s="22">
        <v>3049</v>
      </c>
      <c r="G46" s="22">
        <v>2506</v>
      </c>
      <c r="H46" s="55">
        <v>5.15</v>
      </c>
      <c r="I46" s="55">
        <v>21.67</v>
      </c>
      <c r="J46" s="55">
        <v>2.29</v>
      </c>
      <c r="K46" s="55">
        <v>2.46</v>
      </c>
      <c r="L46" s="55">
        <v>3.19</v>
      </c>
      <c r="M46" s="55">
        <v>2.38</v>
      </c>
      <c r="N46" s="55"/>
    </row>
    <row r="47" spans="1:14">
      <c r="A47" s="55">
        <v>8</v>
      </c>
      <c r="B47" s="55" t="s">
        <v>229</v>
      </c>
      <c r="C47" s="55" t="s">
        <v>20</v>
      </c>
      <c r="D47" s="22">
        <v>331</v>
      </c>
      <c r="E47" s="22">
        <v>555</v>
      </c>
      <c r="F47" s="22">
        <v>2746</v>
      </c>
      <c r="G47" s="22">
        <v>5114</v>
      </c>
      <c r="H47" s="55">
        <v>-40.36</v>
      </c>
      <c r="I47" s="55">
        <v>-46.3</v>
      </c>
      <c r="J47" s="55">
        <v>1.86</v>
      </c>
      <c r="K47" s="55">
        <v>2.21</v>
      </c>
      <c r="L47" s="55">
        <v>4.57</v>
      </c>
      <c r="M47" s="55">
        <v>4.8499999999999996</v>
      </c>
      <c r="N47" s="55"/>
    </row>
    <row r="48" spans="1:14" hidden="1">
      <c r="A48" s="55">
        <v>9</v>
      </c>
      <c r="B48" s="55" t="s">
        <v>372</v>
      </c>
      <c r="C48" s="55" t="s">
        <v>19</v>
      </c>
      <c r="D48" s="22">
        <v>355</v>
      </c>
      <c r="E48" s="22">
        <v>365</v>
      </c>
      <c r="F48" s="22">
        <v>2744</v>
      </c>
      <c r="G48" s="22">
        <v>4389</v>
      </c>
      <c r="H48" s="55">
        <v>-2.74</v>
      </c>
      <c r="I48" s="55">
        <v>-37.479999999999997</v>
      </c>
      <c r="J48" s="55">
        <v>1.99</v>
      </c>
      <c r="K48" s="55">
        <v>2.21</v>
      </c>
      <c r="L48" s="55">
        <v>3</v>
      </c>
      <c r="M48" s="55">
        <v>4.17</v>
      </c>
      <c r="N48" s="55"/>
    </row>
    <row r="49" spans="1:14">
      <c r="A49" s="55">
        <v>10</v>
      </c>
      <c r="B49" s="55" t="s">
        <v>403</v>
      </c>
      <c r="C49" s="55" t="s">
        <v>20</v>
      </c>
      <c r="D49" s="22">
        <v>304</v>
      </c>
      <c r="E49" s="22">
        <v>274</v>
      </c>
      <c r="F49" s="22">
        <v>2718</v>
      </c>
      <c r="G49" s="22">
        <v>2809</v>
      </c>
      <c r="H49" s="55">
        <v>10.95</v>
      </c>
      <c r="I49" s="55">
        <v>-3.24</v>
      </c>
      <c r="J49" s="55">
        <v>1.7</v>
      </c>
      <c r="K49" s="55">
        <v>2.19</v>
      </c>
      <c r="L49" s="55">
        <v>2.2599999999999998</v>
      </c>
      <c r="M49" s="55">
        <v>2.67</v>
      </c>
      <c r="N49" s="55"/>
    </row>
    <row r="50" spans="1:14">
      <c r="A50" s="55">
        <v>11</v>
      </c>
      <c r="B50" s="55" t="s">
        <v>592</v>
      </c>
      <c r="C50" s="55" t="s">
        <v>20</v>
      </c>
      <c r="D50" s="22">
        <v>339</v>
      </c>
      <c r="E50" s="22">
        <v>145</v>
      </c>
      <c r="F50" s="22">
        <v>2681</v>
      </c>
      <c r="G50" s="22">
        <v>1387</v>
      </c>
      <c r="H50" s="55">
        <v>133.79</v>
      </c>
      <c r="I50" s="55">
        <v>93.29</v>
      </c>
      <c r="J50" s="55">
        <v>1.9</v>
      </c>
      <c r="K50" s="55">
        <v>2.16</v>
      </c>
      <c r="L50" s="55">
        <v>1.19</v>
      </c>
      <c r="M50" s="55">
        <v>1.32</v>
      </c>
      <c r="N50" s="55"/>
    </row>
    <row r="51" spans="1:14">
      <c r="A51" s="55">
        <v>12</v>
      </c>
      <c r="B51" s="55" t="s">
        <v>636</v>
      </c>
      <c r="C51" s="55" t="s">
        <v>20</v>
      </c>
      <c r="D51" s="22">
        <v>221</v>
      </c>
      <c r="E51" s="22">
        <v>350</v>
      </c>
      <c r="F51" s="22">
        <v>2400</v>
      </c>
      <c r="G51" s="22">
        <v>738</v>
      </c>
      <c r="H51" s="55">
        <v>-36.86</v>
      </c>
      <c r="I51" s="55">
        <v>225.2</v>
      </c>
      <c r="J51" s="55">
        <v>1.24</v>
      </c>
      <c r="K51" s="55">
        <v>1.93</v>
      </c>
      <c r="L51" s="55">
        <v>2.88</v>
      </c>
      <c r="M51" s="55">
        <v>0.7</v>
      </c>
      <c r="N51" s="55"/>
    </row>
    <row r="52" spans="1:14">
      <c r="A52" s="55">
        <v>13</v>
      </c>
      <c r="B52" s="55" t="s">
        <v>1020</v>
      </c>
      <c r="C52" s="55" t="s">
        <v>20</v>
      </c>
      <c r="D52" s="22">
        <v>598</v>
      </c>
      <c r="E52" s="22">
        <v>0</v>
      </c>
      <c r="F52" s="22">
        <v>2317</v>
      </c>
      <c r="G52" s="22">
        <v>0</v>
      </c>
      <c r="H52" s="55">
        <v>0</v>
      </c>
      <c r="I52" s="55">
        <v>0</v>
      </c>
      <c r="J52" s="55">
        <v>3.35</v>
      </c>
      <c r="K52" s="55">
        <v>1.87</v>
      </c>
      <c r="L52" s="55">
        <v>0</v>
      </c>
      <c r="M52" s="55">
        <v>0</v>
      </c>
      <c r="N52" s="55"/>
    </row>
    <row r="53" spans="1:14">
      <c r="A53" s="55">
        <v>14</v>
      </c>
      <c r="B53" s="55" t="s">
        <v>55</v>
      </c>
      <c r="C53" s="55" t="s">
        <v>20</v>
      </c>
      <c r="D53" s="22">
        <v>51</v>
      </c>
      <c r="E53" s="22">
        <v>484</v>
      </c>
      <c r="F53" s="22">
        <v>2067</v>
      </c>
      <c r="G53" s="22">
        <v>2056</v>
      </c>
      <c r="H53" s="55">
        <v>-89.46</v>
      </c>
      <c r="I53" s="55">
        <v>0.54</v>
      </c>
      <c r="J53" s="55">
        <v>0.28999999999999998</v>
      </c>
      <c r="K53" s="55">
        <v>1.67</v>
      </c>
      <c r="L53" s="55">
        <v>3.98</v>
      </c>
      <c r="M53" s="55">
        <v>1.95</v>
      </c>
      <c r="N53" s="55"/>
    </row>
    <row r="54" spans="1:14">
      <c r="A54" s="55">
        <v>15</v>
      </c>
      <c r="B54" s="55" t="s">
        <v>416</v>
      </c>
      <c r="C54" s="55" t="s">
        <v>20</v>
      </c>
      <c r="D54" s="22">
        <v>213</v>
      </c>
      <c r="E54" s="22">
        <v>135</v>
      </c>
      <c r="F54" s="22">
        <v>1989</v>
      </c>
      <c r="G54" s="22">
        <v>1079</v>
      </c>
      <c r="H54" s="55">
        <v>57.78</v>
      </c>
      <c r="I54" s="55">
        <v>84.34</v>
      </c>
      <c r="J54" s="55">
        <v>1.19</v>
      </c>
      <c r="K54" s="55">
        <v>1.6</v>
      </c>
      <c r="L54" s="55">
        <v>1.1100000000000001</v>
      </c>
      <c r="M54" s="55">
        <v>1.02</v>
      </c>
      <c r="N54" s="55"/>
    </row>
    <row r="55" spans="1:14" hidden="1">
      <c r="A55" s="55">
        <v>16</v>
      </c>
      <c r="B55" s="55" t="s">
        <v>393</v>
      </c>
      <c r="C55" s="55" t="s">
        <v>19</v>
      </c>
      <c r="D55" s="22">
        <v>217</v>
      </c>
      <c r="E55" s="22">
        <v>202</v>
      </c>
      <c r="F55" s="22">
        <v>1934</v>
      </c>
      <c r="G55" s="22">
        <v>1418</v>
      </c>
      <c r="H55" s="55">
        <v>7.43</v>
      </c>
      <c r="I55" s="55">
        <v>36.39</v>
      </c>
      <c r="J55" s="55">
        <v>1.22</v>
      </c>
      <c r="K55" s="55">
        <v>1.56</v>
      </c>
      <c r="L55" s="55">
        <v>1.66</v>
      </c>
      <c r="M55" s="55">
        <v>1.35</v>
      </c>
      <c r="N55" s="55"/>
    </row>
    <row r="56" spans="1:14">
      <c r="A56" s="55">
        <v>17</v>
      </c>
      <c r="B56" s="55" t="s">
        <v>1004</v>
      </c>
      <c r="C56" s="55" t="s">
        <v>20</v>
      </c>
      <c r="D56" s="22">
        <v>451</v>
      </c>
      <c r="E56" s="22">
        <v>6</v>
      </c>
      <c r="F56" s="22">
        <v>1882</v>
      </c>
      <c r="G56" s="22">
        <v>6</v>
      </c>
      <c r="H56" s="55">
        <v>7416.67</v>
      </c>
      <c r="I56" s="55">
        <v>31266.67</v>
      </c>
      <c r="J56" s="55">
        <v>2.5299999999999998</v>
      </c>
      <c r="K56" s="55">
        <v>1.52</v>
      </c>
      <c r="L56" s="55">
        <v>0.05</v>
      </c>
      <c r="M56" s="55">
        <v>0.01</v>
      </c>
      <c r="N56" s="55"/>
    </row>
    <row r="57" spans="1:14">
      <c r="A57" s="55">
        <v>18</v>
      </c>
      <c r="B57" s="55" t="s">
        <v>688</v>
      </c>
      <c r="C57" s="55" t="s">
        <v>20</v>
      </c>
      <c r="D57" s="22">
        <v>146</v>
      </c>
      <c r="E57" s="22">
        <v>124</v>
      </c>
      <c r="F57" s="22">
        <v>1706</v>
      </c>
      <c r="G57" s="22">
        <v>488</v>
      </c>
      <c r="H57" s="55">
        <v>17.739999999999998</v>
      </c>
      <c r="I57" s="55">
        <v>249.59</v>
      </c>
      <c r="J57" s="55">
        <v>0.82</v>
      </c>
      <c r="K57" s="55">
        <v>1.37</v>
      </c>
      <c r="L57" s="55">
        <v>1.02</v>
      </c>
      <c r="M57" s="55">
        <v>0.46</v>
      </c>
      <c r="N57" s="55"/>
    </row>
    <row r="58" spans="1:14" hidden="1">
      <c r="A58" s="55">
        <v>19</v>
      </c>
      <c r="B58" s="55" t="s">
        <v>408</v>
      </c>
      <c r="C58" s="55" t="s">
        <v>19</v>
      </c>
      <c r="D58" s="22">
        <v>158</v>
      </c>
      <c r="E58" s="22">
        <v>180</v>
      </c>
      <c r="F58" s="22">
        <v>1656</v>
      </c>
      <c r="G58" s="22">
        <v>2540</v>
      </c>
      <c r="H58" s="55">
        <v>-12.22</v>
      </c>
      <c r="I58" s="55">
        <v>-34.799999999999997</v>
      </c>
      <c r="J58" s="55">
        <v>0.89</v>
      </c>
      <c r="K58" s="55">
        <v>1.33</v>
      </c>
      <c r="L58" s="55">
        <v>1.48</v>
      </c>
      <c r="M58" s="55">
        <v>2.41</v>
      </c>
      <c r="N58" s="55"/>
    </row>
    <row r="59" spans="1:14" hidden="1">
      <c r="A59" s="55">
        <v>20</v>
      </c>
      <c r="B59" s="55" t="s">
        <v>423</v>
      </c>
      <c r="C59" s="55" t="s">
        <v>19</v>
      </c>
      <c r="D59" s="22">
        <v>260</v>
      </c>
      <c r="E59" s="22">
        <v>85</v>
      </c>
      <c r="F59" s="22">
        <v>1633</v>
      </c>
      <c r="G59" s="22">
        <v>1312</v>
      </c>
      <c r="H59" s="55">
        <v>205.88</v>
      </c>
      <c r="I59" s="55">
        <v>24.47</v>
      </c>
      <c r="J59" s="55">
        <v>1.46</v>
      </c>
      <c r="K59" s="55">
        <v>1.32</v>
      </c>
      <c r="L59" s="55">
        <v>0.7</v>
      </c>
      <c r="M59" s="55">
        <v>1.25</v>
      </c>
      <c r="N59" s="55"/>
    </row>
    <row r="60" spans="1:14">
      <c r="A60" s="55">
        <v>21</v>
      </c>
      <c r="B60" s="55" t="s">
        <v>692</v>
      </c>
      <c r="C60" s="55" t="s">
        <v>20</v>
      </c>
      <c r="D60" s="22">
        <v>211</v>
      </c>
      <c r="E60" s="22">
        <v>147</v>
      </c>
      <c r="F60" s="22">
        <v>1587</v>
      </c>
      <c r="G60" s="22">
        <v>787</v>
      </c>
      <c r="H60" s="55">
        <v>43.54</v>
      </c>
      <c r="I60" s="55">
        <v>101.65</v>
      </c>
      <c r="J60" s="55">
        <v>1.18</v>
      </c>
      <c r="K60" s="55">
        <v>1.28</v>
      </c>
      <c r="L60" s="55">
        <v>1.21</v>
      </c>
      <c r="M60" s="55">
        <v>0.75</v>
      </c>
      <c r="N60" s="55"/>
    </row>
    <row r="61" spans="1:14">
      <c r="A61" s="55">
        <v>22</v>
      </c>
      <c r="B61" s="55" t="s">
        <v>694</v>
      </c>
      <c r="C61" s="55" t="s">
        <v>20</v>
      </c>
      <c r="D61" s="22">
        <v>208</v>
      </c>
      <c r="E61" s="22">
        <v>198</v>
      </c>
      <c r="F61" s="22">
        <v>1344</v>
      </c>
      <c r="G61" s="22">
        <v>667</v>
      </c>
      <c r="H61" s="55">
        <v>5.05</v>
      </c>
      <c r="I61" s="55">
        <v>101.5</v>
      </c>
      <c r="J61" s="55">
        <v>1.17</v>
      </c>
      <c r="K61" s="55">
        <v>1.08</v>
      </c>
      <c r="L61" s="55">
        <v>1.63</v>
      </c>
      <c r="M61" s="55">
        <v>0.63</v>
      </c>
      <c r="N61" s="55"/>
    </row>
    <row r="62" spans="1:14" hidden="1">
      <c r="A62" s="55">
        <v>23</v>
      </c>
      <c r="B62" s="55" t="s">
        <v>376</v>
      </c>
      <c r="C62" s="55" t="s">
        <v>19</v>
      </c>
      <c r="D62" s="22">
        <v>150</v>
      </c>
      <c r="E62" s="22">
        <v>132</v>
      </c>
      <c r="F62" s="22">
        <v>1330</v>
      </c>
      <c r="G62" s="22">
        <v>3001</v>
      </c>
      <c r="H62" s="55">
        <v>13.64</v>
      </c>
      <c r="I62" s="55">
        <v>-55.68</v>
      </c>
      <c r="J62" s="55">
        <v>0.84</v>
      </c>
      <c r="K62" s="55">
        <v>1.07</v>
      </c>
      <c r="L62" s="55">
        <v>1.0900000000000001</v>
      </c>
      <c r="M62" s="55">
        <v>2.85</v>
      </c>
      <c r="N62" s="55"/>
    </row>
    <row r="63" spans="1:14">
      <c r="A63" s="55">
        <v>24</v>
      </c>
      <c r="B63" s="55" t="s">
        <v>94</v>
      </c>
      <c r="C63" s="55" t="s">
        <v>20</v>
      </c>
      <c r="D63" s="22">
        <v>209</v>
      </c>
      <c r="E63" s="22">
        <v>285</v>
      </c>
      <c r="F63" s="22">
        <v>1328</v>
      </c>
      <c r="G63" s="22">
        <v>2474</v>
      </c>
      <c r="H63" s="55">
        <v>-26.67</v>
      </c>
      <c r="I63" s="55">
        <v>-46.32</v>
      </c>
      <c r="J63" s="55">
        <v>1.17</v>
      </c>
      <c r="K63" s="55">
        <v>1.07</v>
      </c>
      <c r="L63" s="55">
        <v>2.35</v>
      </c>
      <c r="M63" s="55">
        <v>2.35</v>
      </c>
      <c r="N63" s="55"/>
    </row>
    <row r="64" spans="1:14" hidden="1">
      <c r="A64" s="55">
        <v>25</v>
      </c>
      <c r="B64" s="55" t="s">
        <v>231</v>
      </c>
      <c r="C64" s="55" t="s">
        <v>19</v>
      </c>
      <c r="D64" s="22">
        <v>151</v>
      </c>
      <c r="E64" s="22">
        <v>80</v>
      </c>
      <c r="F64" s="22">
        <v>1302</v>
      </c>
      <c r="G64" s="22">
        <v>864</v>
      </c>
      <c r="H64" s="55">
        <v>88.75</v>
      </c>
      <c r="I64" s="55">
        <v>50.69</v>
      </c>
      <c r="J64" s="55">
        <v>0.85</v>
      </c>
      <c r="K64" s="55">
        <v>1.05</v>
      </c>
      <c r="L64" s="55">
        <v>0.66</v>
      </c>
      <c r="M64" s="55">
        <v>0.82</v>
      </c>
      <c r="N64" s="55"/>
    </row>
    <row r="65" spans="1:14" hidden="1">
      <c r="A65" s="55">
        <v>26</v>
      </c>
      <c r="B65" s="55" t="s">
        <v>572</v>
      </c>
      <c r="C65" s="55" t="s">
        <v>19</v>
      </c>
      <c r="D65" s="22">
        <v>54</v>
      </c>
      <c r="E65" s="22">
        <v>216</v>
      </c>
      <c r="F65" s="22">
        <v>1297</v>
      </c>
      <c r="G65" s="22">
        <v>1478</v>
      </c>
      <c r="H65" s="55">
        <v>-75</v>
      </c>
      <c r="I65" s="55">
        <v>-12.25</v>
      </c>
      <c r="J65" s="55">
        <v>0.3</v>
      </c>
      <c r="K65" s="55">
        <v>1.04</v>
      </c>
      <c r="L65" s="55">
        <v>1.78</v>
      </c>
      <c r="M65" s="55">
        <v>1.4</v>
      </c>
      <c r="N65" s="55"/>
    </row>
    <row r="66" spans="1:14">
      <c r="A66" s="55">
        <v>27</v>
      </c>
      <c r="B66" s="55" t="s">
        <v>136</v>
      </c>
      <c r="C66" s="55" t="s">
        <v>20</v>
      </c>
      <c r="D66" s="22">
        <v>170</v>
      </c>
      <c r="E66" s="22">
        <v>40</v>
      </c>
      <c r="F66" s="22">
        <v>1281</v>
      </c>
      <c r="G66" s="22">
        <v>1306</v>
      </c>
      <c r="H66" s="55">
        <v>325</v>
      </c>
      <c r="I66" s="55">
        <v>-1.91</v>
      </c>
      <c r="J66" s="55">
        <v>0.95</v>
      </c>
      <c r="K66" s="55">
        <v>1.03</v>
      </c>
      <c r="L66" s="55">
        <v>0.33</v>
      </c>
      <c r="M66" s="55">
        <v>1.24</v>
      </c>
      <c r="N66" s="55"/>
    </row>
    <row r="67" spans="1:14" hidden="1">
      <c r="A67" s="55">
        <v>28</v>
      </c>
      <c r="B67" s="55" t="s">
        <v>643</v>
      </c>
      <c r="C67" s="55" t="s">
        <v>19</v>
      </c>
      <c r="D67" s="22">
        <v>236</v>
      </c>
      <c r="E67" s="22">
        <v>100</v>
      </c>
      <c r="F67" s="22">
        <v>1185</v>
      </c>
      <c r="G67" s="22">
        <v>769</v>
      </c>
      <c r="H67" s="55">
        <v>136</v>
      </c>
      <c r="I67" s="55">
        <v>54.1</v>
      </c>
      <c r="J67" s="55">
        <v>1.32</v>
      </c>
      <c r="K67" s="55">
        <v>0.95</v>
      </c>
      <c r="L67" s="55">
        <v>0.82</v>
      </c>
      <c r="M67" s="55">
        <v>0.73</v>
      </c>
      <c r="N67" s="55"/>
    </row>
    <row r="68" spans="1:14">
      <c r="A68" s="55">
        <v>29</v>
      </c>
      <c r="B68" s="55" t="s">
        <v>645</v>
      </c>
      <c r="C68" s="55" t="s">
        <v>20</v>
      </c>
      <c r="D68" s="22">
        <v>152</v>
      </c>
      <c r="E68" s="22">
        <v>59</v>
      </c>
      <c r="F68" s="22">
        <v>1130</v>
      </c>
      <c r="G68" s="22">
        <v>427</v>
      </c>
      <c r="H68" s="55">
        <v>157.63</v>
      </c>
      <c r="I68" s="55">
        <v>164.64</v>
      </c>
      <c r="J68" s="55">
        <v>0.85</v>
      </c>
      <c r="K68" s="55">
        <v>0.91</v>
      </c>
      <c r="L68" s="55">
        <v>0.49</v>
      </c>
      <c r="M68" s="55">
        <v>0.41</v>
      </c>
      <c r="N68" s="55"/>
    </row>
    <row r="69" spans="1:14">
      <c r="A69" s="55">
        <v>30</v>
      </c>
      <c r="B69" s="55" t="s">
        <v>638</v>
      </c>
      <c r="C69" s="55" t="s">
        <v>20</v>
      </c>
      <c r="D69" s="22">
        <v>228</v>
      </c>
      <c r="E69" s="22">
        <v>0</v>
      </c>
      <c r="F69" s="22">
        <v>1116</v>
      </c>
      <c r="G69" s="22">
        <v>0</v>
      </c>
      <c r="H69" s="55">
        <v>0</v>
      </c>
      <c r="I69" s="55">
        <v>0</v>
      </c>
      <c r="J69" s="55">
        <v>1.28</v>
      </c>
      <c r="K69" s="55">
        <v>0.9</v>
      </c>
      <c r="L69" s="55">
        <v>0</v>
      </c>
      <c r="M69" s="55">
        <v>0</v>
      </c>
      <c r="N69" s="55"/>
    </row>
    <row r="70" spans="1:14">
      <c r="A70" s="55">
        <v>31</v>
      </c>
      <c r="B70" s="55" t="s">
        <v>637</v>
      </c>
      <c r="C70" s="55" t="s">
        <v>20</v>
      </c>
      <c r="D70" s="22">
        <v>314</v>
      </c>
      <c r="E70" s="22">
        <v>242</v>
      </c>
      <c r="F70" s="22">
        <v>1109</v>
      </c>
      <c r="G70" s="22">
        <v>1113</v>
      </c>
      <c r="H70" s="55">
        <v>29.75</v>
      </c>
      <c r="I70" s="55">
        <v>-0.36</v>
      </c>
      <c r="J70" s="55">
        <v>1.76</v>
      </c>
      <c r="K70" s="55">
        <v>0.89</v>
      </c>
      <c r="L70" s="55">
        <v>1.99</v>
      </c>
      <c r="M70" s="55">
        <v>1.06</v>
      </c>
      <c r="N70" s="55"/>
    </row>
    <row r="71" spans="1:14">
      <c r="A71" s="55">
        <v>32</v>
      </c>
      <c r="B71" s="55" t="s">
        <v>1023</v>
      </c>
      <c r="C71" s="55" t="s">
        <v>20</v>
      </c>
      <c r="D71" s="22">
        <v>122</v>
      </c>
      <c r="E71" s="22">
        <v>0</v>
      </c>
      <c r="F71" s="22">
        <v>1079</v>
      </c>
      <c r="G71" s="22">
        <v>0</v>
      </c>
      <c r="H71" s="55">
        <v>0</v>
      </c>
      <c r="I71" s="55">
        <v>0</v>
      </c>
      <c r="J71" s="55">
        <v>0.68</v>
      </c>
      <c r="K71" s="55">
        <v>0.87</v>
      </c>
      <c r="L71" s="55">
        <v>0</v>
      </c>
      <c r="M71" s="55">
        <v>0</v>
      </c>
      <c r="N71" s="55"/>
    </row>
    <row r="72" spans="1:14" hidden="1">
      <c r="A72" s="55">
        <v>33</v>
      </c>
      <c r="B72" s="55" t="s">
        <v>227</v>
      </c>
      <c r="C72" s="55" t="s">
        <v>19</v>
      </c>
      <c r="D72" s="22">
        <v>275</v>
      </c>
      <c r="E72" s="22">
        <v>155</v>
      </c>
      <c r="F72" s="22">
        <v>1047</v>
      </c>
      <c r="G72" s="22">
        <v>1439</v>
      </c>
      <c r="H72" s="55">
        <v>77.42</v>
      </c>
      <c r="I72" s="55">
        <v>-27.24</v>
      </c>
      <c r="J72" s="55">
        <v>1.54</v>
      </c>
      <c r="K72" s="55">
        <v>0.84</v>
      </c>
      <c r="L72" s="55">
        <v>1.28</v>
      </c>
      <c r="M72" s="55">
        <v>1.37</v>
      </c>
      <c r="N72" s="55"/>
    </row>
    <row r="73" spans="1:14" hidden="1">
      <c r="A73" s="55">
        <v>34</v>
      </c>
      <c r="B73" s="55" t="s">
        <v>399</v>
      </c>
      <c r="C73" s="55" t="s">
        <v>19</v>
      </c>
      <c r="D73" s="22">
        <v>125</v>
      </c>
      <c r="E73" s="22">
        <v>149</v>
      </c>
      <c r="F73" s="22">
        <v>1046</v>
      </c>
      <c r="G73" s="22">
        <v>1354</v>
      </c>
      <c r="H73" s="55">
        <v>-16.11</v>
      </c>
      <c r="I73" s="55">
        <v>-22.75</v>
      </c>
      <c r="J73" s="55">
        <v>0.7</v>
      </c>
      <c r="K73" s="55">
        <v>0.84</v>
      </c>
      <c r="L73" s="55">
        <v>1.23</v>
      </c>
      <c r="M73" s="55">
        <v>1.28</v>
      </c>
      <c r="N73" s="55"/>
    </row>
    <row r="74" spans="1:14">
      <c r="A74" s="55">
        <v>35</v>
      </c>
      <c r="B74" s="55" t="s">
        <v>1127</v>
      </c>
      <c r="C74" s="55" t="s">
        <v>20</v>
      </c>
      <c r="D74" s="22">
        <v>113</v>
      </c>
      <c r="E74" s="22">
        <v>0</v>
      </c>
      <c r="F74" s="22">
        <v>1007</v>
      </c>
      <c r="G74" s="22">
        <v>95</v>
      </c>
      <c r="H74" s="55">
        <v>0</v>
      </c>
      <c r="I74" s="55">
        <v>960</v>
      </c>
      <c r="J74" s="55">
        <v>0.63</v>
      </c>
      <c r="K74" s="55">
        <v>0.81</v>
      </c>
      <c r="L74" s="55">
        <v>0</v>
      </c>
      <c r="M74" s="55">
        <v>0.09</v>
      </c>
      <c r="N74" s="55"/>
    </row>
    <row r="75" spans="1:14" hidden="1">
      <c r="A75" s="55">
        <v>36</v>
      </c>
      <c r="B75" s="55" t="s">
        <v>980</v>
      </c>
      <c r="C75" s="55" t="s">
        <v>19</v>
      </c>
      <c r="D75" s="22">
        <v>128</v>
      </c>
      <c r="E75" s="22">
        <v>205</v>
      </c>
      <c r="F75" s="22">
        <v>1003</v>
      </c>
      <c r="G75" s="22">
        <v>308</v>
      </c>
      <c r="H75" s="55">
        <v>-37.56</v>
      </c>
      <c r="I75" s="55">
        <v>225.65</v>
      </c>
      <c r="J75" s="55">
        <v>0.72</v>
      </c>
      <c r="K75" s="55">
        <v>0.81</v>
      </c>
      <c r="L75" s="55">
        <v>1.69</v>
      </c>
      <c r="M75" s="55">
        <v>0.28999999999999998</v>
      </c>
      <c r="N75" s="55"/>
    </row>
    <row r="76" spans="1:14" hidden="1">
      <c r="A76" s="55">
        <v>37</v>
      </c>
      <c r="B76" s="55" t="s">
        <v>488</v>
      </c>
      <c r="C76" s="55" t="s">
        <v>19</v>
      </c>
      <c r="D76" s="22">
        <v>167</v>
      </c>
      <c r="E76" s="22">
        <v>44</v>
      </c>
      <c r="F76" s="22">
        <v>1002</v>
      </c>
      <c r="G76" s="22">
        <v>960</v>
      </c>
      <c r="H76" s="55">
        <v>279.55</v>
      </c>
      <c r="I76" s="55">
        <v>4.38</v>
      </c>
      <c r="J76" s="55">
        <v>0.94</v>
      </c>
      <c r="K76" s="55">
        <v>0.81</v>
      </c>
      <c r="L76" s="55">
        <v>0.36</v>
      </c>
      <c r="M76" s="55">
        <v>0.91</v>
      </c>
      <c r="N76" s="55"/>
    </row>
    <row r="77" spans="1:14">
      <c r="A77" s="55">
        <v>38</v>
      </c>
      <c r="B77" s="55" t="s">
        <v>584</v>
      </c>
      <c r="C77" s="55" t="s">
        <v>20</v>
      </c>
      <c r="D77" s="22">
        <v>298</v>
      </c>
      <c r="E77" s="22">
        <v>148</v>
      </c>
      <c r="F77" s="22">
        <v>930</v>
      </c>
      <c r="G77" s="22">
        <v>2222</v>
      </c>
      <c r="H77" s="55">
        <v>101.35</v>
      </c>
      <c r="I77" s="55">
        <v>-58.15</v>
      </c>
      <c r="J77" s="55">
        <v>1.67</v>
      </c>
      <c r="K77" s="55">
        <v>0.75</v>
      </c>
      <c r="L77" s="55">
        <v>1.22</v>
      </c>
      <c r="M77" s="55">
        <v>2.11</v>
      </c>
      <c r="N77" s="55"/>
    </row>
    <row r="78" spans="1:14" hidden="1">
      <c r="A78" s="55">
        <v>39</v>
      </c>
      <c r="B78" s="55" t="s">
        <v>1025</v>
      </c>
      <c r="C78" s="55" t="s">
        <v>19</v>
      </c>
      <c r="D78" s="22">
        <v>182</v>
      </c>
      <c r="E78" s="22">
        <v>0</v>
      </c>
      <c r="F78" s="22">
        <v>883</v>
      </c>
      <c r="G78" s="22">
        <v>0</v>
      </c>
      <c r="H78" s="55">
        <v>0</v>
      </c>
      <c r="I78" s="55">
        <v>0</v>
      </c>
      <c r="J78" s="55">
        <v>1.02</v>
      </c>
      <c r="K78" s="55">
        <v>0.71</v>
      </c>
      <c r="L78" s="55">
        <v>0</v>
      </c>
      <c r="M78" s="55">
        <v>0</v>
      </c>
      <c r="N78" s="55"/>
    </row>
    <row r="79" spans="1:14" hidden="1">
      <c r="A79" s="55">
        <v>40</v>
      </c>
      <c r="B79" s="55" t="s">
        <v>411</v>
      </c>
      <c r="C79" s="55" t="s">
        <v>19</v>
      </c>
      <c r="D79" s="22">
        <v>62</v>
      </c>
      <c r="E79" s="22">
        <v>150</v>
      </c>
      <c r="F79" s="22">
        <v>826</v>
      </c>
      <c r="G79" s="22">
        <v>1226</v>
      </c>
      <c r="H79" s="55">
        <v>-58.67</v>
      </c>
      <c r="I79" s="55">
        <v>-32.630000000000003</v>
      </c>
      <c r="J79" s="55">
        <v>0.35</v>
      </c>
      <c r="K79" s="55">
        <v>0.67</v>
      </c>
      <c r="L79" s="55">
        <v>1.23</v>
      </c>
      <c r="M79" s="55">
        <v>1.1599999999999999</v>
      </c>
      <c r="N79" s="55"/>
    </row>
    <row r="80" spans="1:14" hidden="1">
      <c r="A80" s="55">
        <v>41</v>
      </c>
      <c r="B80" s="55" t="s">
        <v>380</v>
      </c>
      <c r="C80" s="55" t="s">
        <v>19</v>
      </c>
      <c r="D80" s="22">
        <v>67</v>
      </c>
      <c r="E80" s="22">
        <v>103</v>
      </c>
      <c r="F80" s="22">
        <v>760</v>
      </c>
      <c r="G80" s="22">
        <v>1866</v>
      </c>
      <c r="H80" s="55">
        <v>-34.950000000000003</v>
      </c>
      <c r="I80" s="55">
        <v>-59.27</v>
      </c>
      <c r="J80" s="55">
        <v>0.38</v>
      </c>
      <c r="K80" s="55">
        <v>0.61</v>
      </c>
      <c r="L80" s="55">
        <v>0.85</v>
      </c>
      <c r="M80" s="55">
        <v>1.77</v>
      </c>
      <c r="N80" s="55"/>
    </row>
    <row r="81" spans="1:14">
      <c r="A81" s="55">
        <v>42</v>
      </c>
      <c r="B81" s="55" t="s">
        <v>697</v>
      </c>
      <c r="C81" s="55" t="s">
        <v>20</v>
      </c>
      <c r="D81" s="22">
        <v>107</v>
      </c>
      <c r="E81" s="22">
        <v>82</v>
      </c>
      <c r="F81" s="22">
        <v>752</v>
      </c>
      <c r="G81" s="22">
        <v>541</v>
      </c>
      <c r="H81" s="55">
        <v>30.49</v>
      </c>
      <c r="I81" s="55">
        <v>39</v>
      </c>
      <c r="J81" s="55">
        <v>0.6</v>
      </c>
      <c r="K81" s="55">
        <v>0.61</v>
      </c>
      <c r="L81" s="55">
        <v>0.68</v>
      </c>
      <c r="M81" s="55">
        <v>0.51</v>
      </c>
      <c r="N81" s="55"/>
    </row>
    <row r="82" spans="1:14" hidden="1">
      <c r="A82" s="55">
        <v>43</v>
      </c>
      <c r="B82" s="55" t="s">
        <v>394</v>
      </c>
      <c r="C82" s="55" t="s">
        <v>19</v>
      </c>
      <c r="D82" s="22">
        <v>19</v>
      </c>
      <c r="E82" s="22">
        <v>37</v>
      </c>
      <c r="F82" s="22">
        <v>749</v>
      </c>
      <c r="G82" s="22">
        <v>1187</v>
      </c>
      <c r="H82" s="55">
        <v>-48.65</v>
      </c>
      <c r="I82" s="55">
        <v>-36.9</v>
      </c>
      <c r="J82" s="55">
        <v>0.11</v>
      </c>
      <c r="K82" s="55">
        <v>0.6</v>
      </c>
      <c r="L82" s="55">
        <v>0.3</v>
      </c>
      <c r="M82" s="55">
        <v>1.1299999999999999</v>
      </c>
      <c r="N82" s="55"/>
    </row>
    <row r="83" spans="1:14">
      <c r="A83" s="55">
        <v>44</v>
      </c>
      <c r="B83" s="55" t="s">
        <v>659</v>
      </c>
      <c r="C83" s="55" t="s">
        <v>20</v>
      </c>
      <c r="D83" s="22">
        <v>128</v>
      </c>
      <c r="E83" s="22">
        <v>138</v>
      </c>
      <c r="F83" s="22">
        <v>727</v>
      </c>
      <c r="G83" s="22">
        <v>566</v>
      </c>
      <c r="H83" s="55">
        <v>-7.25</v>
      </c>
      <c r="I83" s="55">
        <v>28.45</v>
      </c>
      <c r="J83" s="55">
        <v>0.72</v>
      </c>
      <c r="K83" s="55">
        <v>0.59</v>
      </c>
      <c r="L83" s="55">
        <v>1.1399999999999999</v>
      </c>
      <c r="M83" s="55">
        <v>0.54</v>
      </c>
      <c r="N83" s="55"/>
    </row>
    <row r="84" spans="1:14">
      <c r="A84" s="55">
        <v>45</v>
      </c>
      <c r="B84" s="55" t="s">
        <v>689</v>
      </c>
      <c r="C84" s="55" t="s">
        <v>20</v>
      </c>
      <c r="D84" s="22">
        <v>27</v>
      </c>
      <c r="E84" s="22">
        <v>27</v>
      </c>
      <c r="F84" s="22">
        <v>714</v>
      </c>
      <c r="G84" s="22">
        <v>167</v>
      </c>
      <c r="H84" s="55">
        <v>0</v>
      </c>
      <c r="I84" s="55">
        <v>327.54000000000002</v>
      </c>
      <c r="J84" s="55">
        <v>0.15</v>
      </c>
      <c r="K84" s="55">
        <v>0.57999999999999996</v>
      </c>
      <c r="L84" s="55">
        <v>0.22</v>
      </c>
      <c r="M84" s="55">
        <v>0.16</v>
      </c>
      <c r="N84" s="55"/>
    </row>
    <row r="85" spans="1:14" hidden="1">
      <c r="A85" s="55">
        <v>46</v>
      </c>
      <c r="B85" s="55" t="s">
        <v>228</v>
      </c>
      <c r="C85" s="55" t="s">
        <v>19</v>
      </c>
      <c r="D85" s="22">
        <v>45</v>
      </c>
      <c r="E85" s="22">
        <v>76</v>
      </c>
      <c r="F85" s="22">
        <v>705</v>
      </c>
      <c r="G85" s="22">
        <v>799</v>
      </c>
      <c r="H85" s="55">
        <v>-40.79</v>
      </c>
      <c r="I85" s="55">
        <v>-11.76</v>
      </c>
      <c r="J85" s="55">
        <v>0.25</v>
      </c>
      <c r="K85" s="55">
        <v>0.56999999999999995</v>
      </c>
      <c r="L85" s="55">
        <v>0.63</v>
      </c>
      <c r="M85" s="55">
        <v>0.76</v>
      </c>
      <c r="N85" s="55"/>
    </row>
    <row r="86" spans="1:14" hidden="1">
      <c r="A86" s="55">
        <v>47</v>
      </c>
      <c r="B86" s="55" t="s">
        <v>487</v>
      </c>
      <c r="C86" s="55" t="s">
        <v>19</v>
      </c>
      <c r="D86" s="22">
        <v>86</v>
      </c>
      <c r="E86" s="22">
        <v>7</v>
      </c>
      <c r="F86" s="22">
        <v>703</v>
      </c>
      <c r="G86" s="22">
        <v>195</v>
      </c>
      <c r="H86" s="55">
        <v>1128.57</v>
      </c>
      <c r="I86" s="55">
        <v>260.51</v>
      </c>
      <c r="J86" s="55">
        <v>0.48</v>
      </c>
      <c r="K86" s="55">
        <v>0.56999999999999995</v>
      </c>
      <c r="L86" s="55">
        <v>0.06</v>
      </c>
      <c r="M86" s="55">
        <v>0.19</v>
      </c>
      <c r="N86" s="55"/>
    </row>
    <row r="87" spans="1:14">
      <c r="A87" s="55">
        <v>48</v>
      </c>
      <c r="B87" s="55" t="s">
        <v>493</v>
      </c>
      <c r="C87" s="55" t="s">
        <v>20</v>
      </c>
      <c r="D87" s="22">
        <v>93</v>
      </c>
      <c r="E87" s="22">
        <v>65</v>
      </c>
      <c r="F87" s="22">
        <v>682</v>
      </c>
      <c r="G87" s="22">
        <v>361</v>
      </c>
      <c r="H87" s="55">
        <v>43.08</v>
      </c>
      <c r="I87" s="55">
        <v>88.92</v>
      </c>
      <c r="J87" s="55">
        <v>0.52</v>
      </c>
      <c r="K87" s="55">
        <v>0.55000000000000004</v>
      </c>
      <c r="L87" s="55">
        <v>0.54</v>
      </c>
      <c r="M87" s="55">
        <v>0.34</v>
      </c>
      <c r="N87" s="55"/>
    </row>
    <row r="88" spans="1:14">
      <c r="A88" s="55">
        <v>49</v>
      </c>
      <c r="B88" s="55" t="s">
        <v>558</v>
      </c>
      <c r="C88" s="55" t="s">
        <v>20</v>
      </c>
      <c r="D88" s="22">
        <v>91</v>
      </c>
      <c r="E88" s="22">
        <v>39</v>
      </c>
      <c r="F88" s="22">
        <v>670</v>
      </c>
      <c r="G88" s="22">
        <v>336</v>
      </c>
      <c r="H88" s="55">
        <v>133.33000000000001</v>
      </c>
      <c r="I88" s="55">
        <v>99.4</v>
      </c>
      <c r="J88" s="55">
        <v>0.51</v>
      </c>
      <c r="K88" s="55">
        <v>0.54</v>
      </c>
      <c r="L88" s="55">
        <v>0.32</v>
      </c>
      <c r="M88" s="55">
        <v>0.32</v>
      </c>
      <c r="N88" s="55"/>
    </row>
    <row r="89" spans="1:14">
      <c r="A89" s="55">
        <v>50</v>
      </c>
      <c r="B89" s="55" t="s">
        <v>1010</v>
      </c>
      <c r="C89" s="55" t="s">
        <v>20</v>
      </c>
      <c r="D89" s="22">
        <v>89</v>
      </c>
      <c r="E89" s="22">
        <v>0</v>
      </c>
      <c r="F89" s="22">
        <v>654</v>
      </c>
      <c r="G89" s="22">
        <v>0</v>
      </c>
      <c r="H89" s="55">
        <v>0</v>
      </c>
      <c r="I89" s="55">
        <v>0</v>
      </c>
      <c r="J89" s="55">
        <v>0.5</v>
      </c>
      <c r="K89" s="55">
        <v>0.53</v>
      </c>
      <c r="L89" s="55">
        <v>0</v>
      </c>
      <c r="M89" s="55">
        <v>0</v>
      </c>
      <c r="N89" s="55"/>
    </row>
    <row r="90" spans="1:14">
      <c r="A90" s="55">
        <v>51</v>
      </c>
      <c r="B90" s="55" t="s">
        <v>560</v>
      </c>
      <c r="C90" s="55" t="s">
        <v>20</v>
      </c>
      <c r="D90" s="22">
        <v>10</v>
      </c>
      <c r="E90" s="22">
        <v>207</v>
      </c>
      <c r="F90" s="22">
        <v>623</v>
      </c>
      <c r="G90" s="22">
        <v>831</v>
      </c>
      <c r="H90" s="55">
        <v>-95.17</v>
      </c>
      <c r="I90" s="55">
        <v>-25.03</v>
      </c>
      <c r="J90" s="55">
        <v>0.06</v>
      </c>
      <c r="K90" s="55">
        <v>0.5</v>
      </c>
      <c r="L90" s="55">
        <v>1.7</v>
      </c>
      <c r="M90" s="55">
        <v>0.79</v>
      </c>
      <c r="N90" s="55"/>
    </row>
    <row r="91" spans="1:14">
      <c r="A91" s="55">
        <v>52</v>
      </c>
      <c r="B91" s="55" t="s">
        <v>400</v>
      </c>
      <c r="C91" s="55" t="s">
        <v>20</v>
      </c>
      <c r="D91" s="22">
        <v>58</v>
      </c>
      <c r="E91" s="22">
        <v>120</v>
      </c>
      <c r="F91" s="22">
        <v>591</v>
      </c>
      <c r="G91" s="22">
        <v>875</v>
      </c>
      <c r="H91" s="55">
        <v>-51.67</v>
      </c>
      <c r="I91" s="55">
        <v>-32.46</v>
      </c>
      <c r="J91" s="55">
        <v>0.33</v>
      </c>
      <c r="K91" s="55">
        <v>0.48</v>
      </c>
      <c r="L91" s="55">
        <v>0.99</v>
      </c>
      <c r="M91" s="55">
        <v>0.83</v>
      </c>
      <c r="N91" s="55"/>
    </row>
    <row r="92" spans="1:14" hidden="1">
      <c r="A92" s="55">
        <v>53</v>
      </c>
      <c r="B92" s="55" t="s">
        <v>358</v>
      </c>
      <c r="C92" s="55" t="s">
        <v>19</v>
      </c>
      <c r="D92" s="22">
        <v>69</v>
      </c>
      <c r="E92" s="22">
        <v>27</v>
      </c>
      <c r="F92" s="22">
        <v>590</v>
      </c>
      <c r="G92" s="22">
        <v>293</v>
      </c>
      <c r="H92" s="62">
        <v>155.56</v>
      </c>
      <c r="I92" s="62">
        <v>101.37</v>
      </c>
      <c r="J92" s="55">
        <v>0.39</v>
      </c>
      <c r="K92" s="55">
        <v>0.48</v>
      </c>
      <c r="L92" s="55">
        <v>0.22</v>
      </c>
      <c r="M92" s="55">
        <v>0.28000000000000003</v>
      </c>
      <c r="N92" s="55"/>
    </row>
    <row r="93" spans="1:14" hidden="1">
      <c r="A93" s="55">
        <v>54</v>
      </c>
      <c r="B93" s="55" t="s">
        <v>116</v>
      </c>
      <c r="C93" s="55" t="s">
        <v>19</v>
      </c>
      <c r="D93" s="22">
        <v>62</v>
      </c>
      <c r="E93" s="22">
        <v>123</v>
      </c>
      <c r="F93" s="22">
        <v>547</v>
      </c>
      <c r="G93" s="22">
        <v>706</v>
      </c>
      <c r="H93" s="78">
        <v>-49.59</v>
      </c>
      <c r="I93" s="78">
        <v>-22.52</v>
      </c>
      <c r="J93" s="55">
        <v>0.35</v>
      </c>
      <c r="K93" s="55">
        <v>0.44</v>
      </c>
      <c r="L93" s="55">
        <v>1.01</v>
      </c>
      <c r="M93" s="55">
        <v>0.67</v>
      </c>
      <c r="N93" s="55"/>
    </row>
    <row r="94" spans="1:14">
      <c r="A94" s="55">
        <v>55</v>
      </c>
      <c r="B94" s="55" t="s">
        <v>598</v>
      </c>
      <c r="C94" s="55" t="s">
        <v>20</v>
      </c>
      <c r="D94" s="22">
        <v>115</v>
      </c>
      <c r="E94" s="22">
        <v>20</v>
      </c>
      <c r="F94" s="22">
        <v>541</v>
      </c>
      <c r="G94" s="22">
        <v>334</v>
      </c>
      <c r="H94" s="55">
        <v>475</v>
      </c>
      <c r="I94" s="55">
        <v>61.98</v>
      </c>
      <c r="J94" s="55">
        <v>0.64</v>
      </c>
      <c r="K94" s="55">
        <v>0.44</v>
      </c>
      <c r="L94" s="55">
        <v>0.16</v>
      </c>
      <c r="M94" s="55">
        <v>0.32</v>
      </c>
      <c r="N94" s="55"/>
    </row>
    <row r="95" spans="1:14">
      <c r="A95" s="55">
        <v>56</v>
      </c>
      <c r="B95" s="55" t="s">
        <v>363</v>
      </c>
      <c r="C95" s="55" t="s">
        <v>20</v>
      </c>
      <c r="D95" s="22">
        <v>47</v>
      </c>
      <c r="E95" s="22">
        <v>7</v>
      </c>
      <c r="F95" s="22">
        <v>535</v>
      </c>
      <c r="G95" s="22">
        <v>590</v>
      </c>
      <c r="H95" s="55">
        <v>571.42999999999995</v>
      </c>
      <c r="I95" s="55">
        <v>-9.32</v>
      </c>
      <c r="J95" s="55">
        <v>0.26</v>
      </c>
      <c r="K95" s="55">
        <v>0.43</v>
      </c>
      <c r="L95" s="55">
        <v>0.06</v>
      </c>
      <c r="M95" s="55">
        <v>0.56000000000000005</v>
      </c>
      <c r="N95" s="55"/>
    </row>
    <row r="96" spans="1:14" hidden="1">
      <c r="A96" s="55">
        <v>57</v>
      </c>
      <c r="B96" s="55" t="s">
        <v>40</v>
      </c>
      <c r="C96" s="55" t="s">
        <v>19</v>
      </c>
      <c r="D96" s="22">
        <v>105</v>
      </c>
      <c r="E96" s="22">
        <v>82</v>
      </c>
      <c r="F96" s="22">
        <v>512</v>
      </c>
      <c r="G96" s="22">
        <v>392</v>
      </c>
      <c r="H96" s="55">
        <v>28.05</v>
      </c>
      <c r="I96" s="55">
        <v>30.61</v>
      </c>
      <c r="J96" s="55">
        <v>0.59</v>
      </c>
      <c r="K96" s="55">
        <v>0.41</v>
      </c>
      <c r="L96" s="55">
        <v>0.68</v>
      </c>
      <c r="M96" s="55">
        <v>0.37</v>
      </c>
      <c r="N96" s="55"/>
    </row>
    <row r="97" spans="1:14">
      <c r="A97" s="55">
        <v>58</v>
      </c>
      <c r="B97" s="55" t="s">
        <v>99</v>
      </c>
      <c r="C97" s="55" t="s">
        <v>20</v>
      </c>
      <c r="D97" s="22">
        <v>32</v>
      </c>
      <c r="E97" s="22">
        <v>107</v>
      </c>
      <c r="F97" s="22">
        <v>505</v>
      </c>
      <c r="G97" s="22">
        <v>942</v>
      </c>
      <c r="H97" s="55">
        <v>-70.09</v>
      </c>
      <c r="I97" s="55">
        <v>-46.39</v>
      </c>
      <c r="J97" s="55">
        <v>0.18</v>
      </c>
      <c r="K97" s="55">
        <v>0.41</v>
      </c>
      <c r="L97" s="55">
        <v>0.88</v>
      </c>
      <c r="M97" s="55">
        <v>0.89</v>
      </c>
      <c r="N97" s="55"/>
    </row>
    <row r="98" spans="1:14" hidden="1">
      <c r="A98" s="55">
        <v>59</v>
      </c>
      <c r="B98" s="55" t="s">
        <v>652</v>
      </c>
      <c r="C98" s="55" t="s">
        <v>19</v>
      </c>
      <c r="D98" s="22">
        <v>104</v>
      </c>
      <c r="E98" s="22">
        <v>31</v>
      </c>
      <c r="F98" s="22">
        <v>500</v>
      </c>
      <c r="G98" s="22">
        <v>243</v>
      </c>
      <c r="H98" s="55">
        <v>235.48</v>
      </c>
      <c r="I98" s="55">
        <v>105.76</v>
      </c>
      <c r="J98" s="55">
        <v>0.57999999999999996</v>
      </c>
      <c r="K98" s="55">
        <v>0.4</v>
      </c>
      <c r="L98" s="55">
        <v>0.26</v>
      </c>
      <c r="M98" s="55">
        <v>0.23</v>
      </c>
      <c r="N98" s="55"/>
    </row>
    <row r="99" spans="1:14" hidden="1">
      <c r="A99" s="55">
        <v>60</v>
      </c>
      <c r="B99" s="55" t="s">
        <v>404</v>
      </c>
      <c r="C99" s="55" t="s">
        <v>19</v>
      </c>
      <c r="D99" s="22">
        <v>71</v>
      </c>
      <c r="E99" s="22">
        <v>124</v>
      </c>
      <c r="F99" s="22">
        <v>495</v>
      </c>
      <c r="G99" s="22">
        <v>309</v>
      </c>
      <c r="H99" s="55">
        <v>-42.74</v>
      </c>
      <c r="I99" s="55">
        <v>60.19</v>
      </c>
      <c r="J99" s="55">
        <v>0.4</v>
      </c>
      <c r="K99" s="55">
        <v>0.4</v>
      </c>
      <c r="L99" s="55">
        <v>1.02</v>
      </c>
      <c r="M99" s="55">
        <v>0.28999999999999998</v>
      </c>
      <c r="N99" s="55"/>
    </row>
    <row r="100" spans="1:14">
      <c r="A100" s="55">
        <v>61</v>
      </c>
      <c r="B100" s="55" t="s">
        <v>1031</v>
      </c>
      <c r="C100" s="55" t="s">
        <v>20</v>
      </c>
      <c r="D100" s="22">
        <v>41</v>
      </c>
      <c r="E100" s="22">
        <v>0</v>
      </c>
      <c r="F100" s="22">
        <v>481</v>
      </c>
      <c r="G100" s="22">
        <v>0</v>
      </c>
      <c r="H100" s="55">
        <v>0</v>
      </c>
      <c r="I100" s="55">
        <v>0</v>
      </c>
      <c r="J100" s="55">
        <v>0.23</v>
      </c>
      <c r="K100" s="55">
        <v>0.39</v>
      </c>
      <c r="L100" s="55">
        <v>0</v>
      </c>
      <c r="M100" s="55">
        <v>0</v>
      </c>
      <c r="N100" s="55"/>
    </row>
    <row r="101" spans="1:14" hidden="1">
      <c r="A101" s="55">
        <v>62</v>
      </c>
      <c r="B101" s="55" t="s">
        <v>373</v>
      </c>
      <c r="C101" s="55" t="s">
        <v>19</v>
      </c>
      <c r="D101" s="22">
        <v>45</v>
      </c>
      <c r="E101" s="22">
        <v>39</v>
      </c>
      <c r="F101" s="22">
        <v>447</v>
      </c>
      <c r="G101" s="22">
        <v>840</v>
      </c>
      <c r="H101" s="55">
        <v>15.38</v>
      </c>
      <c r="I101" s="55">
        <v>-46.79</v>
      </c>
      <c r="J101" s="55">
        <v>0.25</v>
      </c>
      <c r="K101" s="55">
        <v>0.36</v>
      </c>
      <c r="L101" s="55">
        <v>0.32</v>
      </c>
      <c r="M101" s="55">
        <v>0.8</v>
      </c>
      <c r="N101" s="55"/>
    </row>
    <row r="102" spans="1:14" hidden="1">
      <c r="A102" s="55">
        <v>63</v>
      </c>
      <c r="B102" s="55" t="s">
        <v>75</v>
      </c>
      <c r="C102" s="55" t="s">
        <v>19</v>
      </c>
      <c r="D102" s="22">
        <v>14</v>
      </c>
      <c r="E102" s="22">
        <v>1</v>
      </c>
      <c r="F102" s="22">
        <v>430</v>
      </c>
      <c r="G102" s="22">
        <v>334</v>
      </c>
      <c r="H102" s="55">
        <v>1300</v>
      </c>
      <c r="I102" s="55">
        <v>28.74</v>
      </c>
      <c r="J102" s="55">
        <v>0.08</v>
      </c>
      <c r="K102" s="55">
        <v>0.35</v>
      </c>
      <c r="L102" s="55">
        <v>0.01</v>
      </c>
      <c r="M102" s="55">
        <v>0.32</v>
      </c>
      <c r="N102" s="55"/>
    </row>
    <row r="103" spans="1:14" hidden="1">
      <c r="A103" s="55">
        <v>64</v>
      </c>
      <c r="B103" s="55" t="s">
        <v>389</v>
      </c>
      <c r="C103" s="55" t="s">
        <v>19</v>
      </c>
      <c r="D103" s="22">
        <v>77</v>
      </c>
      <c r="E103" s="22">
        <v>84</v>
      </c>
      <c r="F103" s="22">
        <v>422</v>
      </c>
      <c r="G103" s="22">
        <v>1004</v>
      </c>
      <c r="H103" s="55">
        <v>-8.33</v>
      </c>
      <c r="I103" s="55">
        <v>-57.97</v>
      </c>
      <c r="J103" s="55">
        <v>0.43</v>
      </c>
      <c r="K103" s="55">
        <v>0.34</v>
      </c>
      <c r="L103" s="55">
        <v>0.69</v>
      </c>
      <c r="M103" s="55">
        <v>0.95</v>
      </c>
      <c r="N103" s="55"/>
    </row>
    <row r="104" spans="1:14">
      <c r="A104" s="55">
        <v>65</v>
      </c>
      <c r="B104" s="55" t="s">
        <v>405</v>
      </c>
      <c r="C104" s="55" t="s">
        <v>20</v>
      </c>
      <c r="D104" s="22">
        <v>10</v>
      </c>
      <c r="E104" s="22">
        <v>25</v>
      </c>
      <c r="F104" s="22">
        <v>421</v>
      </c>
      <c r="G104" s="22">
        <v>409</v>
      </c>
      <c r="H104" s="55">
        <v>-60</v>
      </c>
      <c r="I104" s="55">
        <v>2.93</v>
      </c>
      <c r="J104" s="55">
        <v>0.06</v>
      </c>
      <c r="K104" s="55">
        <v>0.34</v>
      </c>
      <c r="L104" s="55">
        <v>0.21</v>
      </c>
      <c r="M104" s="55">
        <v>0.39</v>
      </c>
      <c r="N104" s="55"/>
    </row>
    <row r="105" spans="1:14" hidden="1">
      <c r="A105" s="55">
        <v>66</v>
      </c>
      <c r="B105" s="55" t="s">
        <v>374</v>
      </c>
      <c r="C105" s="55" t="s">
        <v>19</v>
      </c>
      <c r="D105" s="22">
        <v>97</v>
      </c>
      <c r="E105" s="22">
        <v>16</v>
      </c>
      <c r="F105" s="22">
        <v>415</v>
      </c>
      <c r="G105" s="22">
        <v>88</v>
      </c>
      <c r="H105" s="55">
        <v>506.25</v>
      </c>
      <c r="I105" s="55">
        <v>371.59</v>
      </c>
      <c r="J105" s="55">
        <v>0.54</v>
      </c>
      <c r="K105" s="55">
        <v>0.33</v>
      </c>
      <c r="L105" s="55">
        <v>0.13</v>
      </c>
      <c r="M105" s="55">
        <v>0.08</v>
      </c>
      <c r="N105" s="55"/>
    </row>
    <row r="106" spans="1:14">
      <c r="A106" s="55">
        <v>67</v>
      </c>
      <c r="B106" s="55" t="s">
        <v>591</v>
      </c>
      <c r="C106" s="55" t="s">
        <v>20</v>
      </c>
      <c r="D106" s="22">
        <v>38</v>
      </c>
      <c r="E106" s="22">
        <v>137</v>
      </c>
      <c r="F106" s="22">
        <v>411</v>
      </c>
      <c r="G106" s="22">
        <v>1248</v>
      </c>
      <c r="H106" s="55">
        <v>-72.260000000000005</v>
      </c>
      <c r="I106" s="55">
        <v>-67.069999999999993</v>
      </c>
      <c r="J106" s="55">
        <v>0.21</v>
      </c>
      <c r="K106" s="55">
        <v>0.33</v>
      </c>
      <c r="L106" s="55">
        <v>1.1299999999999999</v>
      </c>
      <c r="M106" s="55">
        <v>1.18</v>
      </c>
      <c r="N106" s="55"/>
    </row>
    <row r="107" spans="1:14" hidden="1">
      <c r="A107" s="55">
        <v>68</v>
      </c>
      <c r="B107" s="55" t="s">
        <v>234</v>
      </c>
      <c r="C107" s="55" t="s">
        <v>19</v>
      </c>
      <c r="D107" s="22">
        <v>16</v>
      </c>
      <c r="E107" s="22">
        <v>13</v>
      </c>
      <c r="F107" s="22">
        <v>411</v>
      </c>
      <c r="G107" s="22">
        <v>17</v>
      </c>
      <c r="H107" s="55">
        <v>23.08</v>
      </c>
      <c r="I107" s="55">
        <v>2317.65</v>
      </c>
      <c r="J107" s="55">
        <v>0.09</v>
      </c>
      <c r="K107" s="55">
        <v>0.33</v>
      </c>
      <c r="L107" s="55">
        <v>0.11</v>
      </c>
      <c r="M107" s="55">
        <v>0.02</v>
      </c>
      <c r="N107" s="55"/>
    </row>
    <row r="108" spans="1:14">
      <c r="A108" s="55">
        <v>69</v>
      </c>
      <c r="B108" s="55" t="s">
        <v>1093</v>
      </c>
      <c r="C108" s="55" t="s">
        <v>20</v>
      </c>
      <c r="D108" s="22">
        <v>76</v>
      </c>
      <c r="E108" s="22">
        <v>25</v>
      </c>
      <c r="F108" s="22">
        <v>385</v>
      </c>
      <c r="G108" s="22">
        <v>61</v>
      </c>
      <c r="H108" s="55">
        <v>204</v>
      </c>
      <c r="I108" s="55">
        <v>531.15</v>
      </c>
      <c r="J108" s="55">
        <v>0.43</v>
      </c>
      <c r="K108" s="55">
        <v>0.31</v>
      </c>
      <c r="L108" s="55">
        <v>0.21</v>
      </c>
      <c r="M108" s="55">
        <v>0.06</v>
      </c>
      <c r="N108" s="55"/>
    </row>
    <row r="109" spans="1:14" hidden="1">
      <c r="A109" s="55">
        <v>70</v>
      </c>
      <c r="B109" s="55" t="s">
        <v>352</v>
      </c>
      <c r="C109" s="55" t="s">
        <v>19</v>
      </c>
      <c r="D109" s="22">
        <v>29</v>
      </c>
      <c r="E109" s="22">
        <v>53</v>
      </c>
      <c r="F109" s="22">
        <v>353</v>
      </c>
      <c r="G109" s="22">
        <v>455</v>
      </c>
      <c r="H109" s="55">
        <v>-45.28</v>
      </c>
      <c r="I109" s="55">
        <v>-22.42</v>
      </c>
      <c r="J109" s="55">
        <v>0.16</v>
      </c>
      <c r="K109" s="55">
        <v>0.28000000000000003</v>
      </c>
      <c r="L109" s="55">
        <v>0.44</v>
      </c>
      <c r="M109" s="55">
        <v>0.43</v>
      </c>
      <c r="N109" s="55"/>
    </row>
    <row r="110" spans="1:14">
      <c r="A110" s="55">
        <v>71</v>
      </c>
      <c r="B110" s="55" t="s">
        <v>1187</v>
      </c>
      <c r="C110" s="55" t="s">
        <v>20</v>
      </c>
      <c r="D110" s="22">
        <v>66</v>
      </c>
      <c r="E110" s="22">
        <v>0</v>
      </c>
      <c r="F110" s="22">
        <v>351</v>
      </c>
      <c r="G110" s="22">
        <v>0</v>
      </c>
      <c r="H110" s="55">
        <v>0</v>
      </c>
      <c r="I110" s="55">
        <v>0</v>
      </c>
      <c r="J110" s="55">
        <v>0.37</v>
      </c>
      <c r="K110" s="55">
        <v>0.28000000000000003</v>
      </c>
      <c r="L110" s="55">
        <v>0</v>
      </c>
      <c r="M110" s="55">
        <v>0</v>
      </c>
      <c r="N110" s="55"/>
    </row>
    <row r="111" spans="1:14" hidden="1">
      <c r="A111" s="55">
        <v>72</v>
      </c>
      <c r="B111" s="55" t="s">
        <v>401</v>
      </c>
      <c r="C111" s="55" t="s">
        <v>19</v>
      </c>
      <c r="D111" s="22">
        <v>60</v>
      </c>
      <c r="E111" s="22">
        <v>6</v>
      </c>
      <c r="F111" s="22">
        <v>337</v>
      </c>
      <c r="G111" s="22">
        <v>808</v>
      </c>
      <c r="H111" s="55">
        <v>900</v>
      </c>
      <c r="I111" s="55">
        <v>-58.29</v>
      </c>
      <c r="J111" s="55">
        <v>0.34</v>
      </c>
      <c r="K111" s="55">
        <v>0.27</v>
      </c>
      <c r="L111" s="55">
        <v>0.05</v>
      </c>
      <c r="M111" s="55">
        <v>0.77</v>
      </c>
      <c r="N111" s="55"/>
    </row>
    <row r="112" spans="1:14">
      <c r="A112" s="55">
        <v>73</v>
      </c>
      <c r="B112" s="55" t="s">
        <v>481</v>
      </c>
      <c r="C112" s="55" t="s">
        <v>20</v>
      </c>
      <c r="D112" s="22">
        <v>3</v>
      </c>
      <c r="E112" s="22">
        <v>180</v>
      </c>
      <c r="F112" s="22">
        <v>335</v>
      </c>
      <c r="G112" s="22">
        <v>391</v>
      </c>
      <c r="H112" s="55">
        <v>-98.33</v>
      </c>
      <c r="I112" s="55">
        <v>-14.32</v>
      </c>
      <c r="J112" s="55">
        <v>0.02</v>
      </c>
      <c r="K112" s="55">
        <v>0.27</v>
      </c>
      <c r="L112" s="55">
        <v>1.48</v>
      </c>
      <c r="M112" s="55">
        <v>0.37</v>
      </c>
      <c r="N112" s="55"/>
    </row>
    <row r="113" spans="1:14">
      <c r="A113" s="55">
        <v>74</v>
      </c>
      <c r="B113" s="55" t="s">
        <v>639</v>
      </c>
      <c r="C113" s="55" t="s">
        <v>20</v>
      </c>
      <c r="D113" s="22">
        <v>48</v>
      </c>
      <c r="E113" s="22">
        <v>19</v>
      </c>
      <c r="F113" s="22">
        <v>335</v>
      </c>
      <c r="G113" s="22">
        <v>250</v>
      </c>
      <c r="H113" s="55">
        <v>152.63</v>
      </c>
      <c r="I113" s="55">
        <v>34</v>
      </c>
      <c r="J113" s="55">
        <v>0.27</v>
      </c>
      <c r="K113" s="55">
        <v>0.27</v>
      </c>
      <c r="L113" s="55">
        <v>0.16</v>
      </c>
      <c r="M113" s="55">
        <v>0.24</v>
      </c>
      <c r="N113" s="55"/>
    </row>
    <row r="114" spans="1:14">
      <c r="A114" s="55">
        <v>75</v>
      </c>
      <c r="B114" s="55" t="s">
        <v>137</v>
      </c>
      <c r="C114" s="55" t="s">
        <v>20</v>
      </c>
      <c r="D114" s="22">
        <v>22</v>
      </c>
      <c r="E114" s="22">
        <v>0</v>
      </c>
      <c r="F114" s="22">
        <v>304</v>
      </c>
      <c r="G114" s="22">
        <v>0</v>
      </c>
      <c r="H114" s="55">
        <v>0</v>
      </c>
      <c r="I114" s="55">
        <v>0</v>
      </c>
      <c r="J114" s="55">
        <v>0.12</v>
      </c>
      <c r="K114" s="55">
        <v>0.24</v>
      </c>
      <c r="L114" s="55">
        <v>0</v>
      </c>
      <c r="M114" s="55">
        <v>0</v>
      </c>
      <c r="N114" s="55"/>
    </row>
    <row r="115" spans="1:14">
      <c r="A115" s="55">
        <v>76</v>
      </c>
      <c r="B115" s="55" t="s">
        <v>410</v>
      </c>
      <c r="C115" s="55" t="s">
        <v>20</v>
      </c>
      <c r="D115" s="22">
        <v>5</v>
      </c>
      <c r="E115" s="22">
        <v>88</v>
      </c>
      <c r="F115" s="22">
        <v>278</v>
      </c>
      <c r="G115" s="22">
        <v>1067</v>
      </c>
      <c r="H115" s="55">
        <v>-94.32</v>
      </c>
      <c r="I115" s="55">
        <v>-73.95</v>
      </c>
      <c r="J115" s="55">
        <v>0.03</v>
      </c>
      <c r="K115" s="55">
        <v>0.22</v>
      </c>
      <c r="L115" s="55">
        <v>0.72</v>
      </c>
      <c r="M115" s="55">
        <v>1.01</v>
      </c>
      <c r="N115" s="55"/>
    </row>
    <row r="116" spans="1:14">
      <c r="A116" s="55">
        <v>77</v>
      </c>
      <c r="B116" s="55" t="s">
        <v>1003</v>
      </c>
      <c r="C116" s="55" t="s">
        <v>20</v>
      </c>
      <c r="D116" s="22">
        <v>40</v>
      </c>
      <c r="E116" s="22">
        <v>55</v>
      </c>
      <c r="F116" s="22">
        <v>265</v>
      </c>
      <c r="G116" s="22">
        <v>55</v>
      </c>
      <c r="H116" s="55">
        <v>-27.27</v>
      </c>
      <c r="I116" s="55">
        <v>381.82</v>
      </c>
      <c r="J116" s="55">
        <v>0.22</v>
      </c>
      <c r="K116" s="55">
        <v>0.21</v>
      </c>
      <c r="L116" s="55">
        <v>0.45</v>
      </c>
      <c r="M116" s="55">
        <v>0.05</v>
      </c>
      <c r="N116" s="55"/>
    </row>
    <row r="117" spans="1:14" hidden="1">
      <c r="A117" s="55">
        <v>78</v>
      </c>
      <c r="B117" s="55" t="s">
        <v>629</v>
      </c>
      <c r="C117" s="55" t="s">
        <v>19</v>
      </c>
      <c r="D117" s="22">
        <v>7</v>
      </c>
      <c r="E117" s="22">
        <v>18</v>
      </c>
      <c r="F117" s="22">
        <v>263</v>
      </c>
      <c r="G117" s="22">
        <v>234</v>
      </c>
      <c r="H117" s="55">
        <v>-61.11</v>
      </c>
      <c r="I117" s="55">
        <v>12.39</v>
      </c>
      <c r="J117" s="55">
        <v>0.04</v>
      </c>
      <c r="K117" s="55">
        <v>0.21</v>
      </c>
      <c r="L117" s="55">
        <v>0.15</v>
      </c>
      <c r="M117" s="55">
        <v>0.22</v>
      </c>
      <c r="N117" s="55"/>
    </row>
    <row r="118" spans="1:14" hidden="1">
      <c r="A118" s="55">
        <v>79</v>
      </c>
      <c r="B118" s="55" t="s">
        <v>1215</v>
      </c>
      <c r="C118" s="55" t="s">
        <v>19</v>
      </c>
      <c r="D118" s="22">
        <v>86</v>
      </c>
      <c r="E118" s="22">
        <v>0</v>
      </c>
      <c r="F118" s="22">
        <v>254</v>
      </c>
      <c r="G118" s="22">
        <v>0</v>
      </c>
      <c r="H118" s="55">
        <v>0</v>
      </c>
      <c r="I118" s="55">
        <v>0</v>
      </c>
      <c r="J118" s="55">
        <v>0.48</v>
      </c>
      <c r="K118" s="55">
        <v>0.2</v>
      </c>
      <c r="L118" s="55">
        <v>0</v>
      </c>
      <c r="M118" s="55">
        <v>0</v>
      </c>
      <c r="N118" s="55"/>
    </row>
    <row r="119" spans="1:14">
      <c r="A119" s="55">
        <v>80</v>
      </c>
      <c r="B119" s="55" t="s">
        <v>395</v>
      </c>
      <c r="C119" s="55" t="s">
        <v>20</v>
      </c>
      <c r="D119" s="22">
        <v>16</v>
      </c>
      <c r="E119" s="22">
        <v>85</v>
      </c>
      <c r="F119" s="22">
        <v>252</v>
      </c>
      <c r="G119" s="22">
        <v>548</v>
      </c>
      <c r="H119" s="55">
        <v>-81.180000000000007</v>
      </c>
      <c r="I119" s="55">
        <v>-54.01</v>
      </c>
      <c r="J119" s="55">
        <v>0.09</v>
      </c>
      <c r="K119" s="55">
        <v>0.2</v>
      </c>
      <c r="L119" s="55">
        <v>0.7</v>
      </c>
      <c r="M119" s="55">
        <v>0.52</v>
      </c>
      <c r="N119" s="55"/>
    </row>
    <row r="120" spans="1:14" hidden="1">
      <c r="A120" s="55">
        <v>81</v>
      </c>
      <c r="B120" s="55" t="s">
        <v>360</v>
      </c>
      <c r="C120" s="55" t="s">
        <v>19</v>
      </c>
      <c r="D120" s="22">
        <v>19</v>
      </c>
      <c r="E120" s="22">
        <v>88</v>
      </c>
      <c r="F120" s="22">
        <v>248</v>
      </c>
      <c r="G120" s="22">
        <v>1136</v>
      </c>
      <c r="H120" s="55">
        <v>-78.41</v>
      </c>
      <c r="I120" s="55">
        <v>-78.17</v>
      </c>
      <c r="J120" s="55">
        <v>0.11</v>
      </c>
      <c r="K120" s="55">
        <v>0.2</v>
      </c>
      <c r="L120" s="55">
        <v>0.72</v>
      </c>
      <c r="M120" s="55">
        <v>1.08</v>
      </c>
      <c r="N120" s="55"/>
    </row>
    <row r="121" spans="1:14" hidden="1">
      <c r="A121" s="55">
        <v>82</v>
      </c>
      <c r="B121" s="55" t="s">
        <v>172</v>
      </c>
      <c r="C121" s="55" t="s">
        <v>19</v>
      </c>
      <c r="D121" s="22">
        <v>27</v>
      </c>
      <c r="E121" s="22">
        <v>34</v>
      </c>
      <c r="F121" s="22">
        <v>248</v>
      </c>
      <c r="G121" s="22">
        <v>318</v>
      </c>
      <c r="H121" s="55">
        <v>-20.59</v>
      </c>
      <c r="I121" s="55">
        <v>-22.01</v>
      </c>
      <c r="J121" s="55">
        <v>0.15</v>
      </c>
      <c r="K121" s="55">
        <v>0.2</v>
      </c>
      <c r="L121" s="55">
        <v>0.28000000000000003</v>
      </c>
      <c r="M121" s="55">
        <v>0.3</v>
      </c>
      <c r="N121" s="55"/>
    </row>
    <row r="122" spans="1:14">
      <c r="A122" s="55">
        <v>83</v>
      </c>
      <c r="B122" s="55" t="s">
        <v>441</v>
      </c>
      <c r="C122" s="55" t="s">
        <v>20</v>
      </c>
      <c r="D122" s="22">
        <v>37</v>
      </c>
      <c r="E122" s="22">
        <v>20</v>
      </c>
      <c r="F122" s="22">
        <v>246</v>
      </c>
      <c r="G122" s="22">
        <v>95</v>
      </c>
      <c r="H122" s="55">
        <v>85</v>
      </c>
      <c r="I122" s="55">
        <v>158.94999999999999</v>
      </c>
      <c r="J122" s="55">
        <v>0.21</v>
      </c>
      <c r="K122" s="55">
        <v>0.2</v>
      </c>
      <c r="L122" s="55">
        <v>0.16</v>
      </c>
      <c r="M122" s="55">
        <v>0.09</v>
      </c>
      <c r="N122" s="55"/>
    </row>
    <row r="123" spans="1:14" hidden="1">
      <c r="A123" s="55">
        <v>84</v>
      </c>
      <c r="B123" s="55" t="s">
        <v>430</v>
      </c>
      <c r="C123" s="55" t="s">
        <v>19</v>
      </c>
      <c r="D123" s="22">
        <v>37</v>
      </c>
      <c r="E123" s="22">
        <v>24</v>
      </c>
      <c r="F123" s="22">
        <v>245</v>
      </c>
      <c r="G123" s="22">
        <v>487</v>
      </c>
      <c r="H123" s="55">
        <v>54.17</v>
      </c>
      <c r="I123" s="55">
        <v>-49.69</v>
      </c>
      <c r="J123" s="55">
        <v>0.21</v>
      </c>
      <c r="K123" s="55">
        <v>0.2</v>
      </c>
      <c r="L123" s="55">
        <v>0.2</v>
      </c>
      <c r="M123" s="55">
        <v>0.46</v>
      </c>
      <c r="N123" s="55"/>
    </row>
    <row r="124" spans="1:14">
      <c r="A124" s="55">
        <v>85</v>
      </c>
      <c r="B124" s="55" t="s">
        <v>1035</v>
      </c>
      <c r="C124" s="55" t="s">
        <v>20</v>
      </c>
      <c r="D124" s="22">
        <v>99</v>
      </c>
      <c r="E124" s="22">
        <v>0</v>
      </c>
      <c r="F124" s="22">
        <v>244</v>
      </c>
      <c r="G124" s="22">
        <v>0</v>
      </c>
      <c r="H124" s="55">
        <v>0</v>
      </c>
      <c r="I124" s="55">
        <v>0</v>
      </c>
      <c r="J124" s="55">
        <v>0.56000000000000005</v>
      </c>
      <c r="K124" s="55">
        <v>0.2</v>
      </c>
      <c r="L124" s="55">
        <v>0</v>
      </c>
      <c r="M124" s="55">
        <v>0</v>
      </c>
      <c r="N124" s="55"/>
    </row>
    <row r="125" spans="1:14">
      <c r="A125" s="55">
        <v>86</v>
      </c>
      <c r="B125" s="55" t="s">
        <v>571</v>
      </c>
      <c r="C125" s="55" t="s">
        <v>20</v>
      </c>
      <c r="D125" s="22">
        <v>4</v>
      </c>
      <c r="E125" s="22">
        <v>29</v>
      </c>
      <c r="F125" s="22">
        <v>243</v>
      </c>
      <c r="G125" s="22">
        <v>526</v>
      </c>
      <c r="H125" s="55">
        <v>-86.21</v>
      </c>
      <c r="I125" s="55">
        <v>-53.8</v>
      </c>
      <c r="J125" s="55">
        <v>0.02</v>
      </c>
      <c r="K125" s="55">
        <v>0.2</v>
      </c>
      <c r="L125" s="55">
        <v>0.24</v>
      </c>
      <c r="M125" s="55">
        <v>0.5</v>
      </c>
      <c r="N125" s="55"/>
    </row>
    <row r="126" spans="1:14" hidden="1">
      <c r="A126" s="55">
        <v>87</v>
      </c>
      <c r="B126" s="55" t="s">
        <v>375</v>
      </c>
      <c r="C126" s="55" t="s">
        <v>19</v>
      </c>
      <c r="D126" s="22">
        <v>10</v>
      </c>
      <c r="E126" s="22">
        <v>69</v>
      </c>
      <c r="F126" s="22">
        <v>241</v>
      </c>
      <c r="G126" s="22">
        <v>404</v>
      </c>
      <c r="H126" s="55">
        <v>-85.51</v>
      </c>
      <c r="I126" s="55">
        <v>-40.35</v>
      </c>
      <c r="J126" s="55">
        <v>0.06</v>
      </c>
      <c r="K126" s="55">
        <v>0.19</v>
      </c>
      <c r="L126" s="55">
        <v>0.56999999999999995</v>
      </c>
      <c r="M126" s="55">
        <v>0.38</v>
      </c>
      <c r="N126" s="55"/>
    </row>
    <row r="127" spans="1:14" hidden="1">
      <c r="A127" s="55">
        <v>88</v>
      </c>
      <c r="B127" s="55" t="s">
        <v>396</v>
      </c>
      <c r="C127" s="55" t="s">
        <v>19</v>
      </c>
      <c r="D127" s="22">
        <v>2</v>
      </c>
      <c r="E127" s="22">
        <v>53</v>
      </c>
      <c r="F127" s="22">
        <v>238</v>
      </c>
      <c r="G127" s="22">
        <v>458</v>
      </c>
      <c r="H127" s="55">
        <v>-96.23</v>
      </c>
      <c r="I127" s="55">
        <v>-48.03</v>
      </c>
      <c r="J127" s="55">
        <v>0.01</v>
      </c>
      <c r="K127" s="55">
        <v>0.19</v>
      </c>
      <c r="L127" s="55">
        <v>0.44</v>
      </c>
      <c r="M127" s="55">
        <v>0.43</v>
      </c>
      <c r="N127" s="55"/>
    </row>
    <row r="128" spans="1:14" hidden="1">
      <c r="A128" s="55">
        <v>89</v>
      </c>
      <c r="B128" s="55" t="s">
        <v>585</v>
      </c>
      <c r="C128" s="55" t="s">
        <v>19</v>
      </c>
      <c r="D128" s="22">
        <v>80</v>
      </c>
      <c r="E128" s="22">
        <v>5</v>
      </c>
      <c r="F128" s="22">
        <v>227</v>
      </c>
      <c r="G128" s="22">
        <v>1354</v>
      </c>
      <c r="H128" s="55">
        <v>1500</v>
      </c>
      <c r="I128" s="55">
        <v>-83.23</v>
      </c>
      <c r="J128" s="55">
        <v>0.45</v>
      </c>
      <c r="K128" s="55">
        <v>0.18</v>
      </c>
      <c r="L128" s="55">
        <v>0.04</v>
      </c>
      <c r="M128" s="55">
        <v>1.28</v>
      </c>
      <c r="N128" s="55"/>
    </row>
    <row r="129" spans="1:14" hidden="1">
      <c r="A129" s="55">
        <v>90</v>
      </c>
      <c r="B129" s="55" t="s">
        <v>382</v>
      </c>
      <c r="C129" s="55" t="s">
        <v>19</v>
      </c>
      <c r="D129" s="22">
        <v>36</v>
      </c>
      <c r="E129" s="22">
        <v>39</v>
      </c>
      <c r="F129" s="22">
        <v>219</v>
      </c>
      <c r="G129" s="22">
        <v>162</v>
      </c>
      <c r="H129" s="55">
        <v>-7.69</v>
      </c>
      <c r="I129" s="55">
        <v>35.19</v>
      </c>
      <c r="J129" s="55">
        <v>0.2</v>
      </c>
      <c r="K129" s="55">
        <v>0.18</v>
      </c>
      <c r="L129" s="55">
        <v>0.32</v>
      </c>
      <c r="M129" s="55">
        <v>0.15</v>
      </c>
      <c r="N129" s="55"/>
    </row>
    <row r="130" spans="1:14" hidden="1">
      <c r="A130" s="55">
        <v>91</v>
      </c>
      <c r="B130" s="55" t="s">
        <v>496</v>
      </c>
      <c r="C130" s="55" t="s">
        <v>19</v>
      </c>
      <c r="D130" s="22">
        <v>45</v>
      </c>
      <c r="E130" s="22">
        <v>17</v>
      </c>
      <c r="F130" s="22">
        <v>217</v>
      </c>
      <c r="G130" s="22">
        <v>164</v>
      </c>
      <c r="H130" s="55">
        <v>164.71</v>
      </c>
      <c r="I130" s="55">
        <v>32.32</v>
      </c>
      <c r="J130" s="55">
        <v>0.25</v>
      </c>
      <c r="K130" s="55">
        <v>0.17</v>
      </c>
      <c r="L130" s="55">
        <v>0.14000000000000001</v>
      </c>
      <c r="M130" s="55">
        <v>0.16</v>
      </c>
      <c r="N130" s="55"/>
    </row>
    <row r="131" spans="1:14" hidden="1">
      <c r="A131" s="55">
        <v>92</v>
      </c>
      <c r="B131" s="55" t="s">
        <v>431</v>
      </c>
      <c r="C131" s="55" t="s">
        <v>19</v>
      </c>
      <c r="D131" s="22">
        <v>26</v>
      </c>
      <c r="E131" s="22">
        <v>8</v>
      </c>
      <c r="F131" s="22">
        <v>193</v>
      </c>
      <c r="G131" s="22">
        <v>241</v>
      </c>
      <c r="H131" s="55">
        <v>225</v>
      </c>
      <c r="I131" s="55">
        <v>-19.920000000000002</v>
      </c>
      <c r="J131" s="55">
        <v>0.15</v>
      </c>
      <c r="K131" s="55">
        <v>0.16</v>
      </c>
      <c r="L131" s="55">
        <v>7.0000000000000007E-2</v>
      </c>
      <c r="M131" s="55">
        <v>0.23</v>
      </c>
      <c r="N131" s="55"/>
    </row>
    <row r="132" spans="1:14" hidden="1">
      <c r="A132" s="55">
        <v>93</v>
      </c>
      <c r="B132" s="55" t="s">
        <v>413</v>
      </c>
      <c r="C132" s="55" t="s">
        <v>19</v>
      </c>
      <c r="D132" s="22">
        <v>21</v>
      </c>
      <c r="E132" s="22">
        <v>43</v>
      </c>
      <c r="F132" s="22">
        <v>189</v>
      </c>
      <c r="G132" s="22">
        <v>366</v>
      </c>
      <c r="H132" s="55">
        <v>-51.16</v>
      </c>
      <c r="I132" s="55">
        <v>-48.36</v>
      </c>
      <c r="J132" s="55">
        <v>0.12</v>
      </c>
      <c r="K132" s="55">
        <v>0.15</v>
      </c>
      <c r="L132" s="55">
        <v>0.35</v>
      </c>
      <c r="M132" s="55">
        <v>0.35</v>
      </c>
      <c r="N132" s="55"/>
    </row>
    <row r="133" spans="1:14" hidden="1">
      <c r="A133" s="55">
        <v>94</v>
      </c>
      <c r="B133" s="55" t="s">
        <v>1037</v>
      </c>
      <c r="C133" s="55" t="s">
        <v>19</v>
      </c>
      <c r="D133" s="22">
        <v>16</v>
      </c>
      <c r="E133" s="22">
        <v>0</v>
      </c>
      <c r="F133" s="22">
        <v>187</v>
      </c>
      <c r="G133" s="22">
        <v>0</v>
      </c>
      <c r="H133" s="55">
        <v>0</v>
      </c>
      <c r="I133" s="55">
        <v>0</v>
      </c>
      <c r="J133" s="55">
        <v>0.09</v>
      </c>
      <c r="K133" s="55">
        <v>0.15</v>
      </c>
      <c r="L133" s="55">
        <v>0</v>
      </c>
      <c r="M133" s="55">
        <v>0</v>
      </c>
      <c r="N133" s="55"/>
    </row>
    <row r="134" spans="1:14" hidden="1">
      <c r="A134" s="55">
        <v>95</v>
      </c>
      <c r="B134" s="55" t="s">
        <v>1094</v>
      </c>
      <c r="C134" s="55" t="s">
        <v>19</v>
      </c>
      <c r="D134" s="22">
        <v>81</v>
      </c>
      <c r="E134" s="22">
        <v>0</v>
      </c>
      <c r="F134" s="22">
        <v>187</v>
      </c>
      <c r="G134" s="22">
        <v>0</v>
      </c>
      <c r="H134" s="55">
        <v>0</v>
      </c>
      <c r="I134" s="55">
        <v>0</v>
      </c>
      <c r="J134" s="55">
        <v>0.45</v>
      </c>
      <c r="K134" s="55">
        <v>0.15</v>
      </c>
      <c r="L134" s="55">
        <v>0</v>
      </c>
      <c r="M134" s="55">
        <v>0</v>
      </c>
      <c r="N134" s="55"/>
    </row>
    <row r="135" spans="1:14">
      <c r="A135" s="55">
        <v>96</v>
      </c>
      <c r="B135" s="55" t="s">
        <v>397</v>
      </c>
      <c r="C135" s="55" t="s">
        <v>20</v>
      </c>
      <c r="D135" s="22">
        <v>56</v>
      </c>
      <c r="E135" s="22">
        <v>27</v>
      </c>
      <c r="F135" s="22">
        <v>175</v>
      </c>
      <c r="G135" s="22">
        <v>320</v>
      </c>
      <c r="H135" s="55">
        <v>107.41</v>
      </c>
      <c r="I135" s="55">
        <v>-45.31</v>
      </c>
      <c r="J135" s="55">
        <v>0.31</v>
      </c>
      <c r="K135" s="55">
        <v>0.14000000000000001</v>
      </c>
      <c r="L135" s="55">
        <v>0.22</v>
      </c>
      <c r="M135" s="55">
        <v>0.3</v>
      </c>
      <c r="N135" s="55"/>
    </row>
    <row r="136" spans="1:14" hidden="1">
      <c r="A136" s="55">
        <v>97</v>
      </c>
      <c r="B136" s="55" t="s">
        <v>1060</v>
      </c>
      <c r="C136" s="55" t="s">
        <v>19</v>
      </c>
      <c r="D136" s="22">
        <v>49</v>
      </c>
      <c r="E136" s="22">
        <v>0</v>
      </c>
      <c r="F136" s="22">
        <v>162</v>
      </c>
      <c r="G136" s="22">
        <v>0</v>
      </c>
      <c r="H136" s="55">
        <v>0</v>
      </c>
      <c r="I136" s="55">
        <v>0</v>
      </c>
      <c r="J136" s="55">
        <v>0.27</v>
      </c>
      <c r="K136" s="55">
        <v>0.13</v>
      </c>
      <c r="L136" s="55">
        <v>0</v>
      </c>
      <c r="M136" s="55">
        <v>0</v>
      </c>
      <c r="N136" s="55"/>
    </row>
    <row r="137" spans="1:14">
      <c r="A137" s="55">
        <v>98</v>
      </c>
      <c r="B137" s="55" t="s">
        <v>432</v>
      </c>
      <c r="C137" s="55" t="s">
        <v>20</v>
      </c>
      <c r="D137" s="22">
        <v>54</v>
      </c>
      <c r="E137" s="22">
        <v>113</v>
      </c>
      <c r="F137" s="22">
        <v>157</v>
      </c>
      <c r="G137" s="22">
        <v>457</v>
      </c>
      <c r="H137" s="55">
        <v>-52.21</v>
      </c>
      <c r="I137" s="55">
        <v>-65.650000000000006</v>
      </c>
      <c r="J137" s="55">
        <v>0.3</v>
      </c>
      <c r="K137" s="55">
        <v>0.13</v>
      </c>
      <c r="L137" s="55">
        <v>0.93</v>
      </c>
      <c r="M137" s="55">
        <v>0.43</v>
      </c>
      <c r="N137" s="55"/>
    </row>
    <row r="138" spans="1:14" hidden="1">
      <c r="A138" s="55">
        <v>99</v>
      </c>
      <c r="B138" s="55" t="s">
        <v>125</v>
      </c>
      <c r="C138" s="55" t="s">
        <v>19</v>
      </c>
      <c r="D138" s="22">
        <v>15</v>
      </c>
      <c r="E138" s="22">
        <v>6</v>
      </c>
      <c r="F138" s="22">
        <v>154</v>
      </c>
      <c r="G138" s="22">
        <v>53</v>
      </c>
      <c r="H138" s="55">
        <v>150</v>
      </c>
      <c r="I138" s="55">
        <v>190.57</v>
      </c>
      <c r="J138" s="55">
        <v>0.08</v>
      </c>
      <c r="K138" s="55">
        <v>0.12</v>
      </c>
      <c r="L138" s="55">
        <v>0.05</v>
      </c>
      <c r="M138" s="55">
        <v>0.05</v>
      </c>
      <c r="N138" s="55"/>
    </row>
    <row r="139" spans="1:14">
      <c r="A139" s="55">
        <v>100</v>
      </c>
      <c r="B139" s="55" t="s">
        <v>611</v>
      </c>
      <c r="C139" s="55" t="s">
        <v>20</v>
      </c>
      <c r="D139" s="22">
        <v>24</v>
      </c>
      <c r="E139" s="22">
        <v>42</v>
      </c>
      <c r="F139" s="22">
        <v>150</v>
      </c>
      <c r="G139" s="22">
        <v>521</v>
      </c>
      <c r="H139" s="55">
        <v>-42.86</v>
      </c>
      <c r="I139" s="55">
        <v>-71.209999999999994</v>
      </c>
      <c r="J139" s="55">
        <v>0.13</v>
      </c>
      <c r="K139" s="55">
        <v>0.12</v>
      </c>
      <c r="L139" s="55">
        <v>0.35</v>
      </c>
      <c r="M139" s="55">
        <v>0.49</v>
      </c>
      <c r="N139" s="55"/>
    </row>
    <row r="140" spans="1:14" hidden="1">
      <c r="A140" s="55">
        <v>101</v>
      </c>
      <c r="B140" s="55" t="s">
        <v>153</v>
      </c>
      <c r="C140" s="55" t="s">
        <v>19</v>
      </c>
      <c r="D140" s="22">
        <v>17</v>
      </c>
      <c r="E140" s="22">
        <v>35</v>
      </c>
      <c r="F140" s="22">
        <v>142</v>
      </c>
      <c r="G140" s="22">
        <v>365</v>
      </c>
      <c r="H140" s="55">
        <v>-51.43</v>
      </c>
      <c r="I140" s="55">
        <v>-61.1</v>
      </c>
      <c r="J140" s="55">
        <v>0.1</v>
      </c>
      <c r="K140" s="55">
        <v>0.11</v>
      </c>
      <c r="L140" s="55">
        <v>0.28999999999999998</v>
      </c>
      <c r="M140" s="55">
        <v>0.35</v>
      </c>
      <c r="N140" s="55"/>
    </row>
    <row r="141" spans="1:14" hidden="1">
      <c r="A141" s="55">
        <v>102</v>
      </c>
      <c r="B141" s="55" t="s">
        <v>147</v>
      </c>
      <c r="C141" s="55" t="s">
        <v>19</v>
      </c>
      <c r="D141" s="22">
        <v>7</v>
      </c>
      <c r="E141" s="22">
        <v>6</v>
      </c>
      <c r="F141" s="22">
        <v>136</v>
      </c>
      <c r="G141" s="22">
        <v>223</v>
      </c>
      <c r="H141" s="55">
        <v>16.670000000000002</v>
      </c>
      <c r="I141" s="55">
        <v>-39.01</v>
      </c>
      <c r="J141" s="55">
        <v>0.04</v>
      </c>
      <c r="K141" s="55">
        <v>0.11</v>
      </c>
      <c r="L141" s="55">
        <v>0.05</v>
      </c>
      <c r="M141" s="55">
        <v>0.21</v>
      </c>
      <c r="N141" s="55"/>
    </row>
    <row r="142" spans="1:14" hidden="1">
      <c r="A142" s="55">
        <v>103</v>
      </c>
      <c r="B142" s="55" t="s">
        <v>988</v>
      </c>
      <c r="C142" s="55" t="s">
        <v>19</v>
      </c>
      <c r="D142" s="22">
        <v>8</v>
      </c>
      <c r="E142" s="22">
        <v>3</v>
      </c>
      <c r="F142" s="22">
        <v>134</v>
      </c>
      <c r="G142" s="22">
        <v>6</v>
      </c>
      <c r="H142" s="55">
        <v>166.67</v>
      </c>
      <c r="I142" s="55">
        <v>2133.33</v>
      </c>
      <c r="J142" s="55">
        <v>0.04</v>
      </c>
      <c r="K142" s="55">
        <v>0.11</v>
      </c>
      <c r="L142" s="55">
        <v>0.02</v>
      </c>
      <c r="M142" s="55">
        <v>0.01</v>
      </c>
      <c r="N142" s="55"/>
    </row>
    <row r="143" spans="1:14">
      <c r="A143" s="55">
        <v>104</v>
      </c>
      <c r="B143" s="55" t="s">
        <v>707</v>
      </c>
      <c r="C143" s="55" t="s">
        <v>20</v>
      </c>
      <c r="D143" s="22">
        <v>13</v>
      </c>
      <c r="E143" s="22">
        <v>0</v>
      </c>
      <c r="F143" s="22">
        <v>133</v>
      </c>
      <c r="G143" s="22">
        <v>3</v>
      </c>
      <c r="H143" s="55">
        <v>0</v>
      </c>
      <c r="I143" s="55">
        <v>4333.33</v>
      </c>
      <c r="J143" s="55">
        <v>7.0000000000000007E-2</v>
      </c>
      <c r="K143" s="55">
        <v>0.11</v>
      </c>
      <c r="L143" s="55">
        <v>0</v>
      </c>
      <c r="M143" s="55">
        <v>0</v>
      </c>
      <c r="N143" s="55"/>
    </row>
    <row r="144" spans="1:14">
      <c r="A144" s="55">
        <v>105</v>
      </c>
      <c r="B144" s="55" t="s">
        <v>79</v>
      </c>
      <c r="C144" s="55" t="s">
        <v>20</v>
      </c>
      <c r="D144" s="22">
        <v>4</v>
      </c>
      <c r="E144" s="22">
        <v>15</v>
      </c>
      <c r="F144" s="22">
        <v>130</v>
      </c>
      <c r="G144" s="22">
        <v>515</v>
      </c>
      <c r="H144" s="55">
        <v>-73.33</v>
      </c>
      <c r="I144" s="55">
        <v>-74.760000000000005</v>
      </c>
      <c r="J144" s="55">
        <v>0.02</v>
      </c>
      <c r="K144" s="55">
        <v>0.1</v>
      </c>
      <c r="L144" s="55">
        <v>0.12</v>
      </c>
      <c r="M144" s="55">
        <v>0.49</v>
      </c>
      <c r="N144" s="55"/>
    </row>
    <row r="145" spans="1:14">
      <c r="A145" s="55">
        <v>228</v>
      </c>
      <c r="B145" s="55" t="s">
        <v>436</v>
      </c>
      <c r="C145" s="55" t="s">
        <v>20</v>
      </c>
      <c r="D145" s="22">
        <v>28</v>
      </c>
      <c r="E145" s="22">
        <v>19</v>
      </c>
      <c r="F145" s="22">
        <v>129</v>
      </c>
      <c r="G145" s="22">
        <v>123</v>
      </c>
      <c r="H145" s="55">
        <v>47.37</v>
      </c>
      <c r="I145" s="55">
        <v>4.88</v>
      </c>
      <c r="J145" s="55">
        <v>0.16</v>
      </c>
      <c r="K145" s="55">
        <v>0.1</v>
      </c>
      <c r="L145" s="55">
        <v>0.16</v>
      </c>
      <c r="M145" s="55">
        <v>0.12</v>
      </c>
      <c r="N145" s="55"/>
    </row>
    <row r="146" spans="1:14" hidden="1">
      <c r="A146" s="55">
        <v>106</v>
      </c>
      <c r="B146" s="55" t="s">
        <v>1091</v>
      </c>
      <c r="C146" s="55" t="s">
        <v>19</v>
      </c>
      <c r="D146" s="22">
        <v>6</v>
      </c>
      <c r="E146" s="22">
        <v>0</v>
      </c>
      <c r="F146" s="22">
        <v>128</v>
      </c>
      <c r="G146" s="22">
        <v>0</v>
      </c>
      <c r="H146" s="55">
        <v>0</v>
      </c>
      <c r="I146" s="55">
        <v>0</v>
      </c>
      <c r="J146" s="55">
        <v>0.03</v>
      </c>
      <c r="K146" s="55">
        <v>0.1</v>
      </c>
      <c r="L146" s="55">
        <v>0</v>
      </c>
      <c r="M146" s="55">
        <v>0</v>
      </c>
      <c r="N146" s="55"/>
    </row>
    <row r="147" spans="1:14" hidden="1">
      <c r="A147" s="55">
        <v>107</v>
      </c>
      <c r="B147" s="55" t="s">
        <v>235</v>
      </c>
      <c r="C147" s="55" t="s">
        <v>19</v>
      </c>
      <c r="D147" s="22">
        <v>14</v>
      </c>
      <c r="E147" s="22">
        <v>12</v>
      </c>
      <c r="F147" s="22">
        <v>124</v>
      </c>
      <c r="G147" s="22">
        <v>106</v>
      </c>
      <c r="H147" s="55">
        <v>16.670000000000002</v>
      </c>
      <c r="I147" s="55">
        <v>16.98</v>
      </c>
      <c r="J147" s="55">
        <v>0.08</v>
      </c>
      <c r="K147" s="55">
        <v>0.1</v>
      </c>
      <c r="L147" s="55">
        <v>0.1</v>
      </c>
      <c r="M147" s="55">
        <v>0.1</v>
      </c>
      <c r="N147" s="55"/>
    </row>
    <row r="148" spans="1:14" hidden="1">
      <c r="A148" s="55">
        <v>108</v>
      </c>
      <c r="B148" s="55" t="s">
        <v>1034</v>
      </c>
      <c r="C148" s="55" t="s">
        <v>19</v>
      </c>
      <c r="D148" s="22">
        <v>0</v>
      </c>
      <c r="E148" s="22">
        <v>0</v>
      </c>
      <c r="F148" s="22">
        <v>122</v>
      </c>
      <c r="G148" s="22">
        <v>0</v>
      </c>
      <c r="H148" s="55">
        <v>0</v>
      </c>
      <c r="I148" s="55">
        <v>0</v>
      </c>
      <c r="J148" s="55">
        <v>0</v>
      </c>
      <c r="K148" s="55">
        <v>0.1</v>
      </c>
      <c r="L148" s="55">
        <v>0</v>
      </c>
      <c r="M148" s="55">
        <v>0</v>
      </c>
      <c r="N148" s="55"/>
    </row>
    <row r="149" spans="1:14" hidden="1">
      <c r="A149" s="55">
        <v>109</v>
      </c>
      <c r="B149" s="55" t="s">
        <v>70</v>
      </c>
      <c r="C149" s="55" t="s">
        <v>19</v>
      </c>
      <c r="D149" s="22">
        <v>8</v>
      </c>
      <c r="E149" s="22">
        <v>53</v>
      </c>
      <c r="F149" s="22">
        <v>120</v>
      </c>
      <c r="G149" s="22">
        <v>863</v>
      </c>
      <c r="H149" s="55">
        <v>-84.91</v>
      </c>
      <c r="I149" s="55">
        <v>-86.1</v>
      </c>
      <c r="J149" s="55">
        <v>0.04</v>
      </c>
      <c r="K149" s="55">
        <v>0.1</v>
      </c>
      <c r="L149" s="55">
        <v>0.44</v>
      </c>
      <c r="M149" s="55">
        <v>0.82</v>
      </c>
      <c r="N149" s="55"/>
    </row>
    <row r="150" spans="1:14" hidden="1">
      <c r="A150" s="55">
        <v>110</v>
      </c>
      <c r="B150" s="55" t="s">
        <v>491</v>
      </c>
      <c r="C150" s="55" t="s">
        <v>19</v>
      </c>
      <c r="D150" s="22">
        <v>19</v>
      </c>
      <c r="E150" s="22">
        <v>4</v>
      </c>
      <c r="F150" s="22">
        <v>115</v>
      </c>
      <c r="G150" s="22">
        <v>103</v>
      </c>
      <c r="H150" s="55">
        <v>375</v>
      </c>
      <c r="I150" s="55">
        <v>11.65</v>
      </c>
      <c r="J150" s="55">
        <v>0.11</v>
      </c>
      <c r="K150" s="55">
        <v>0.09</v>
      </c>
      <c r="L150" s="55">
        <v>0.03</v>
      </c>
      <c r="M150" s="55">
        <v>0.1</v>
      </c>
      <c r="N150" s="55"/>
    </row>
    <row r="151" spans="1:14" hidden="1">
      <c r="A151" s="55">
        <v>111</v>
      </c>
      <c r="B151" s="55" t="s">
        <v>412</v>
      </c>
      <c r="C151" s="55" t="s">
        <v>19</v>
      </c>
      <c r="D151" s="22">
        <v>0</v>
      </c>
      <c r="E151" s="22">
        <v>27</v>
      </c>
      <c r="F151" s="22">
        <v>110</v>
      </c>
      <c r="G151" s="22">
        <v>158</v>
      </c>
      <c r="H151" s="55">
        <v>-100</v>
      </c>
      <c r="I151" s="55">
        <v>-30.38</v>
      </c>
      <c r="J151" s="55">
        <v>0</v>
      </c>
      <c r="K151" s="55">
        <v>0.09</v>
      </c>
      <c r="L151" s="55">
        <v>0.22</v>
      </c>
      <c r="M151" s="55">
        <v>0.15</v>
      </c>
      <c r="N151" s="55"/>
    </row>
    <row r="152" spans="1:14">
      <c r="A152" s="55">
        <v>112</v>
      </c>
      <c r="B152" s="55" t="s">
        <v>1056</v>
      </c>
      <c r="C152" s="55" t="s">
        <v>20</v>
      </c>
      <c r="D152" s="22">
        <v>2</v>
      </c>
      <c r="E152" s="22">
        <v>0</v>
      </c>
      <c r="F152" s="22">
        <v>105</v>
      </c>
      <c r="G152" s="22">
        <v>0</v>
      </c>
      <c r="H152" s="62">
        <v>0</v>
      </c>
      <c r="I152" s="62">
        <v>0</v>
      </c>
      <c r="J152" s="55">
        <v>0.01</v>
      </c>
      <c r="K152" s="55">
        <v>0.08</v>
      </c>
      <c r="L152" s="55">
        <v>0</v>
      </c>
      <c r="M152" s="55">
        <v>0</v>
      </c>
      <c r="N152" s="55"/>
    </row>
    <row r="153" spans="1:14" hidden="1">
      <c r="A153" s="55">
        <v>113</v>
      </c>
      <c r="B153" s="55" t="s">
        <v>409</v>
      </c>
      <c r="C153" s="55" t="s">
        <v>19</v>
      </c>
      <c r="D153" s="22">
        <v>2</v>
      </c>
      <c r="E153" s="22">
        <v>37</v>
      </c>
      <c r="F153" s="22">
        <v>100</v>
      </c>
      <c r="G153" s="22">
        <v>438</v>
      </c>
      <c r="H153" s="55">
        <v>-94.59</v>
      </c>
      <c r="I153" s="55">
        <v>-77.17</v>
      </c>
      <c r="J153" s="55">
        <v>0.01</v>
      </c>
      <c r="K153" s="55">
        <v>0.08</v>
      </c>
      <c r="L153" s="55">
        <v>0.3</v>
      </c>
      <c r="M153" s="55">
        <v>0.42</v>
      </c>
      <c r="N153" s="55"/>
    </row>
    <row r="154" spans="1:14">
      <c r="A154" s="55">
        <v>114</v>
      </c>
      <c r="B154" s="55" t="s">
        <v>1134</v>
      </c>
      <c r="C154" s="55" t="s">
        <v>20</v>
      </c>
      <c r="D154" s="22">
        <v>14</v>
      </c>
      <c r="E154" s="22">
        <v>0</v>
      </c>
      <c r="F154" s="22">
        <v>100</v>
      </c>
      <c r="G154" s="22">
        <v>0</v>
      </c>
      <c r="H154" s="55">
        <v>0</v>
      </c>
      <c r="I154" s="55">
        <v>0</v>
      </c>
      <c r="J154" s="55">
        <v>0.08</v>
      </c>
      <c r="K154" s="55">
        <v>0.08</v>
      </c>
      <c r="L154" s="55">
        <v>0</v>
      </c>
      <c r="M154" s="55">
        <v>0</v>
      </c>
      <c r="N154" s="55"/>
    </row>
    <row r="155" spans="1:14">
      <c r="A155" s="55">
        <v>115</v>
      </c>
      <c r="B155" s="55" t="s">
        <v>982</v>
      </c>
      <c r="C155" s="55" t="s">
        <v>20</v>
      </c>
      <c r="D155" s="22">
        <v>6</v>
      </c>
      <c r="E155" s="22">
        <v>2</v>
      </c>
      <c r="F155" s="22">
        <v>99</v>
      </c>
      <c r="G155" s="22">
        <v>14</v>
      </c>
      <c r="H155" s="55">
        <v>200</v>
      </c>
      <c r="I155" s="55">
        <v>607.14</v>
      </c>
      <c r="J155" s="55">
        <v>0.03</v>
      </c>
      <c r="K155" s="55">
        <v>0.08</v>
      </c>
      <c r="L155" s="55">
        <v>0.02</v>
      </c>
      <c r="M155" s="55">
        <v>0.01</v>
      </c>
      <c r="N155" s="55"/>
    </row>
    <row r="156" spans="1:14" hidden="1">
      <c r="A156" s="55">
        <v>116</v>
      </c>
      <c r="B156" s="55" t="s">
        <v>1055</v>
      </c>
      <c r="C156" s="55" t="s">
        <v>19</v>
      </c>
      <c r="D156" s="22">
        <v>37</v>
      </c>
      <c r="E156" s="22">
        <v>0</v>
      </c>
      <c r="F156" s="22">
        <v>98</v>
      </c>
      <c r="G156" s="22">
        <v>0</v>
      </c>
      <c r="H156" s="55">
        <v>0</v>
      </c>
      <c r="I156" s="55">
        <v>0</v>
      </c>
      <c r="J156" s="55">
        <v>0.21</v>
      </c>
      <c r="K156" s="55">
        <v>0.08</v>
      </c>
      <c r="L156" s="55">
        <v>0</v>
      </c>
      <c r="M156" s="55">
        <v>0</v>
      </c>
      <c r="N156" s="55"/>
    </row>
    <row r="157" spans="1:14" hidden="1">
      <c r="A157" s="55">
        <v>117</v>
      </c>
      <c r="B157" s="55" t="s">
        <v>1149</v>
      </c>
      <c r="C157" s="55" t="s">
        <v>19</v>
      </c>
      <c r="D157" s="22">
        <v>14</v>
      </c>
      <c r="E157" s="22">
        <v>0</v>
      </c>
      <c r="F157" s="22">
        <v>89</v>
      </c>
      <c r="G157" s="22">
        <v>0</v>
      </c>
      <c r="H157" s="55">
        <v>0</v>
      </c>
      <c r="I157" s="55">
        <v>0</v>
      </c>
      <c r="J157" s="55">
        <v>0.08</v>
      </c>
      <c r="K157" s="55">
        <v>7.0000000000000007E-2</v>
      </c>
      <c r="L157" s="55">
        <v>0</v>
      </c>
      <c r="M157" s="55">
        <v>0</v>
      </c>
      <c r="N157" s="55"/>
    </row>
    <row r="158" spans="1:14">
      <c r="A158" s="55">
        <v>118</v>
      </c>
      <c r="B158" s="55" t="s">
        <v>638</v>
      </c>
      <c r="C158" s="55" t="s">
        <v>20</v>
      </c>
      <c r="D158" s="22">
        <v>1</v>
      </c>
      <c r="E158" s="22">
        <v>166</v>
      </c>
      <c r="F158" s="22">
        <v>87</v>
      </c>
      <c r="G158" s="22">
        <v>1114</v>
      </c>
      <c r="H158" s="55">
        <v>-99.4</v>
      </c>
      <c r="I158" s="55">
        <v>-92.19</v>
      </c>
      <c r="J158" s="55">
        <v>0.01</v>
      </c>
      <c r="K158" s="55">
        <v>7.0000000000000007E-2</v>
      </c>
      <c r="L158" s="55">
        <v>1.37</v>
      </c>
      <c r="M158" s="55">
        <v>1.06</v>
      </c>
      <c r="N158" s="55"/>
    </row>
    <row r="159" spans="1:14" hidden="1">
      <c r="A159" s="55">
        <v>119</v>
      </c>
      <c r="B159" s="55" t="s">
        <v>418</v>
      </c>
      <c r="C159" s="55" t="s">
        <v>19</v>
      </c>
      <c r="D159" s="22">
        <v>2</v>
      </c>
      <c r="E159" s="22">
        <v>9</v>
      </c>
      <c r="F159" s="22">
        <v>86</v>
      </c>
      <c r="G159" s="22">
        <v>208</v>
      </c>
      <c r="H159" s="55">
        <v>-77.78</v>
      </c>
      <c r="I159" s="55">
        <v>-58.65</v>
      </c>
      <c r="J159" s="55">
        <v>0.01</v>
      </c>
      <c r="K159" s="55">
        <v>7.0000000000000007E-2</v>
      </c>
      <c r="L159" s="55">
        <v>7.0000000000000007E-2</v>
      </c>
      <c r="M159" s="55">
        <v>0.2</v>
      </c>
      <c r="N159" s="55"/>
    </row>
    <row r="160" spans="1:14" hidden="1">
      <c r="A160" s="55">
        <v>120</v>
      </c>
      <c r="B160" s="55" t="s">
        <v>594</v>
      </c>
      <c r="C160" s="55" t="s">
        <v>19</v>
      </c>
      <c r="D160" s="22">
        <v>17</v>
      </c>
      <c r="E160" s="22">
        <v>3</v>
      </c>
      <c r="F160" s="22">
        <v>82</v>
      </c>
      <c r="G160" s="22">
        <v>158</v>
      </c>
      <c r="H160" s="55">
        <v>466.67</v>
      </c>
      <c r="I160" s="55">
        <v>-48.1</v>
      </c>
      <c r="J160" s="55">
        <v>0.1</v>
      </c>
      <c r="K160" s="55">
        <v>7.0000000000000007E-2</v>
      </c>
      <c r="L160" s="55">
        <v>0.02</v>
      </c>
      <c r="M160" s="55">
        <v>0.15</v>
      </c>
      <c r="N160" s="55"/>
    </row>
    <row r="161" spans="1:14" hidden="1">
      <c r="A161" s="55">
        <v>121</v>
      </c>
      <c r="B161" s="55" t="s">
        <v>646</v>
      </c>
      <c r="C161" s="55" t="s">
        <v>19</v>
      </c>
      <c r="D161" s="22">
        <v>0</v>
      </c>
      <c r="E161" s="22">
        <v>8</v>
      </c>
      <c r="F161" s="22">
        <v>82</v>
      </c>
      <c r="G161" s="22">
        <v>99</v>
      </c>
      <c r="H161" s="55">
        <v>-100</v>
      </c>
      <c r="I161" s="55">
        <v>-17.170000000000002</v>
      </c>
      <c r="J161" s="55">
        <v>0</v>
      </c>
      <c r="K161" s="55">
        <v>7.0000000000000007E-2</v>
      </c>
      <c r="L161" s="55">
        <v>7.0000000000000007E-2</v>
      </c>
      <c r="M161" s="55">
        <v>0.09</v>
      </c>
      <c r="N161" s="55"/>
    </row>
    <row r="162" spans="1:14" hidden="1">
      <c r="A162" s="55">
        <v>122</v>
      </c>
      <c r="B162" s="55" t="s">
        <v>490</v>
      </c>
      <c r="C162" s="55" t="s">
        <v>19</v>
      </c>
      <c r="D162" s="22">
        <v>12</v>
      </c>
      <c r="E162" s="22">
        <v>0</v>
      </c>
      <c r="F162" s="22">
        <v>82</v>
      </c>
      <c r="G162" s="22">
        <v>43</v>
      </c>
      <c r="H162" s="55">
        <v>0</v>
      </c>
      <c r="I162" s="55">
        <v>90.7</v>
      </c>
      <c r="J162" s="55">
        <v>7.0000000000000007E-2</v>
      </c>
      <c r="K162" s="55">
        <v>7.0000000000000007E-2</v>
      </c>
      <c r="L162" s="55">
        <v>0</v>
      </c>
      <c r="M162" s="55">
        <v>0.04</v>
      </c>
      <c r="N162" s="55"/>
    </row>
    <row r="163" spans="1:14">
      <c r="A163" s="55">
        <v>123</v>
      </c>
      <c r="B163" s="55" t="s">
        <v>660</v>
      </c>
      <c r="C163" s="55" t="s">
        <v>20</v>
      </c>
      <c r="D163" s="22">
        <v>5</v>
      </c>
      <c r="E163" s="22">
        <v>22</v>
      </c>
      <c r="F163" s="22">
        <v>79</v>
      </c>
      <c r="G163" s="22">
        <v>208</v>
      </c>
      <c r="H163" s="55">
        <v>-77.27</v>
      </c>
      <c r="I163" s="55">
        <v>-62.02</v>
      </c>
      <c r="J163" s="55">
        <v>0.03</v>
      </c>
      <c r="K163" s="55">
        <v>0.06</v>
      </c>
      <c r="L163" s="55">
        <v>0.18</v>
      </c>
      <c r="M163" s="55">
        <v>0.2</v>
      </c>
      <c r="N163" s="55"/>
    </row>
    <row r="164" spans="1:14">
      <c r="A164" s="55">
        <v>124</v>
      </c>
      <c r="B164" s="55" t="s">
        <v>1059</v>
      </c>
      <c r="C164" s="55" t="s">
        <v>20</v>
      </c>
      <c r="D164" s="22">
        <v>5</v>
      </c>
      <c r="E164" s="22">
        <v>0</v>
      </c>
      <c r="F164" s="22">
        <v>75</v>
      </c>
      <c r="G164" s="22">
        <v>0</v>
      </c>
      <c r="H164" s="55">
        <v>0</v>
      </c>
      <c r="I164" s="55">
        <v>0</v>
      </c>
      <c r="J164" s="55">
        <v>0.03</v>
      </c>
      <c r="K164" s="55">
        <v>0.06</v>
      </c>
      <c r="L164" s="55">
        <v>0</v>
      </c>
      <c r="M164" s="55">
        <v>0</v>
      </c>
      <c r="N164" s="55"/>
    </row>
    <row r="165" spans="1:14">
      <c r="A165" s="55">
        <v>125</v>
      </c>
      <c r="B165" s="55" t="s">
        <v>1038</v>
      </c>
      <c r="C165" s="55" t="s">
        <v>20</v>
      </c>
      <c r="D165" s="22">
        <v>5</v>
      </c>
      <c r="E165" s="22">
        <v>0</v>
      </c>
      <c r="F165" s="22">
        <v>74</v>
      </c>
      <c r="G165" s="22">
        <v>0</v>
      </c>
      <c r="H165" s="55">
        <v>0</v>
      </c>
      <c r="I165" s="55">
        <v>0</v>
      </c>
      <c r="J165" s="55">
        <v>0.03</v>
      </c>
      <c r="K165" s="55">
        <v>0.06</v>
      </c>
      <c r="L165" s="55">
        <v>0</v>
      </c>
      <c r="M165" s="55">
        <v>0</v>
      </c>
      <c r="N165" s="55"/>
    </row>
    <row r="166" spans="1:14" hidden="1">
      <c r="A166" s="55">
        <v>126</v>
      </c>
      <c r="B166" s="55" t="s">
        <v>596</v>
      </c>
      <c r="C166" s="55" t="s">
        <v>19</v>
      </c>
      <c r="D166" s="22">
        <v>5</v>
      </c>
      <c r="E166" s="22">
        <v>1</v>
      </c>
      <c r="F166" s="22">
        <v>73</v>
      </c>
      <c r="G166" s="22">
        <v>70</v>
      </c>
      <c r="H166" s="55">
        <v>400</v>
      </c>
      <c r="I166" s="55">
        <v>4.29</v>
      </c>
      <c r="J166" s="55">
        <v>0.03</v>
      </c>
      <c r="K166" s="55">
        <v>0.06</v>
      </c>
      <c r="L166" s="55">
        <v>0.01</v>
      </c>
      <c r="M166" s="55">
        <v>7.0000000000000007E-2</v>
      </c>
      <c r="N166" s="55"/>
    </row>
    <row r="167" spans="1:14">
      <c r="A167" s="55">
        <v>127</v>
      </c>
      <c r="B167" s="55" t="s">
        <v>1092</v>
      </c>
      <c r="C167" s="55" t="s">
        <v>20</v>
      </c>
      <c r="D167" s="22">
        <v>21</v>
      </c>
      <c r="E167" s="22">
        <v>4</v>
      </c>
      <c r="F167" s="22">
        <v>69</v>
      </c>
      <c r="G167" s="22">
        <v>45</v>
      </c>
      <c r="H167" s="55">
        <v>425</v>
      </c>
      <c r="I167" s="55">
        <v>53.33</v>
      </c>
      <c r="J167" s="55">
        <v>0.12</v>
      </c>
      <c r="K167" s="55">
        <v>0.06</v>
      </c>
      <c r="L167" s="55">
        <v>0.03</v>
      </c>
      <c r="M167" s="55">
        <v>0.04</v>
      </c>
      <c r="N167" s="55"/>
    </row>
    <row r="168" spans="1:14" hidden="1">
      <c r="A168" s="55">
        <v>128</v>
      </c>
      <c r="B168" s="55" t="s">
        <v>238</v>
      </c>
      <c r="C168" s="55" t="s">
        <v>19</v>
      </c>
      <c r="D168" s="22">
        <v>0</v>
      </c>
      <c r="E168" s="22">
        <v>1</v>
      </c>
      <c r="F168" s="22">
        <v>68</v>
      </c>
      <c r="G168" s="22">
        <v>30</v>
      </c>
      <c r="H168" s="55">
        <v>-100</v>
      </c>
      <c r="I168" s="55">
        <v>126.67</v>
      </c>
      <c r="J168" s="55">
        <v>0</v>
      </c>
      <c r="K168" s="55">
        <v>0.05</v>
      </c>
      <c r="L168" s="55">
        <v>0.01</v>
      </c>
      <c r="M168" s="55">
        <v>0.03</v>
      </c>
      <c r="N168" s="55"/>
    </row>
    <row r="169" spans="1:14">
      <c r="A169" s="55">
        <v>129</v>
      </c>
      <c r="B169" s="55" t="s">
        <v>653</v>
      </c>
      <c r="C169" s="55" t="s">
        <v>20</v>
      </c>
      <c r="D169" s="22">
        <v>9</v>
      </c>
      <c r="E169" s="22">
        <v>7</v>
      </c>
      <c r="F169" s="22">
        <v>65</v>
      </c>
      <c r="G169" s="22">
        <v>80</v>
      </c>
      <c r="H169" s="55">
        <v>28.57</v>
      </c>
      <c r="I169" s="55">
        <v>-18.75</v>
      </c>
      <c r="J169" s="55">
        <v>0.05</v>
      </c>
      <c r="K169" s="55">
        <v>0.05</v>
      </c>
      <c r="L169" s="55">
        <v>0.06</v>
      </c>
      <c r="M169" s="55">
        <v>0.08</v>
      </c>
      <c r="N169" s="55"/>
    </row>
    <row r="170" spans="1:14" hidden="1">
      <c r="A170" s="55">
        <v>130</v>
      </c>
      <c r="B170" s="55" t="s">
        <v>1078</v>
      </c>
      <c r="C170" s="55" t="s">
        <v>19</v>
      </c>
      <c r="D170" s="22">
        <v>19</v>
      </c>
      <c r="E170" s="22">
        <v>0</v>
      </c>
      <c r="F170" s="22">
        <v>65</v>
      </c>
      <c r="G170" s="22">
        <v>0</v>
      </c>
      <c r="H170" s="55">
        <v>0</v>
      </c>
      <c r="I170" s="55">
        <v>0</v>
      </c>
      <c r="J170" s="55">
        <v>0.11</v>
      </c>
      <c r="K170" s="55">
        <v>0.05</v>
      </c>
      <c r="L170" s="55">
        <v>0</v>
      </c>
      <c r="M170" s="55">
        <v>0</v>
      </c>
      <c r="N170" s="55"/>
    </row>
    <row r="171" spans="1:14">
      <c r="A171" s="55">
        <v>131</v>
      </c>
      <c r="B171" s="55" t="s">
        <v>1011</v>
      </c>
      <c r="C171" s="55" t="s">
        <v>20</v>
      </c>
      <c r="D171" s="22">
        <v>1</v>
      </c>
      <c r="E171" s="22">
        <v>0</v>
      </c>
      <c r="F171" s="22">
        <v>64</v>
      </c>
      <c r="G171" s="22">
        <v>0</v>
      </c>
      <c r="H171" s="55">
        <v>0</v>
      </c>
      <c r="I171" s="55">
        <v>0</v>
      </c>
      <c r="J171" s="55">
        <v>0.01</v>
      </c>
      <c r="K171" s="55">
        <v>0.05</v>
      </c>
      <c r="L171" s="55">
        <v>0</v>
      </c>
      <c r="M171" s="55">
        <v>0</v>
      </c>
      <c r="N171" s="55"/>
    </row>
    <row r="172" spans="1:14">
      <c r="A172" s="55">
        <v>132</v>
      </c>
      <c r="B172" s="55" t="s">
        <v>1156</v>
      </c>
      <c r="C172" s="55" t="s">
        <v>20</v>
      </c>
      <c r="D172" s="22">
        <v>4</v>
      </c>
      <c r="E172" s="22">
        <v>0</v>
      </c>
      <c r="F172" s="22">
        <v>62</v>
      </c>
      <c r="G172" s="22">
        <v>0</v>
      </c>
      <c r="H172" s="55">
        <v>0</v>
      </c>
      <c r="I172" s="55">
        <v>0</v>
      </c>
      <c r="J172" s="55">
        <v>0.02</v>
      </c>
      <c r="K172" s="55">
        <v>0.05</v>
      </c>
      <c r="L172" s="55">
        <v>0</v>
      </c>
      <c r="M172" s="55">
        <v>0</v>
      </c>
      <c r="N172" s="55"/>
    </row>
    <row r="173" spans="1:14" hidden="1">
      <c r="A173" s="55">
        <v>133</v>
      </c>
      <c r="B173" s="55" t="s">
        <v>427</v>
      </c>
      <c r="C173" s="55" t="s">
        <v>19</v>
      </c>
      <c r="D173" s="22">
        <v>4</v>
      </c>
      <c r="E173" s="22">
        <v>3</v>
      </c>
      <c r="F173" s="22">
        <v>61</v>
      </c>
      <c r="G173" s="22">
        <v>73</v>
      </c>
      <c r="H173" s="55">
        <v>33.33</v>
      </c>
      <c r="I173" s="55">
        <v>-16.440000000000001</v>
      </c>
      <c r="J173" s="55">
        <v>0.02</v>
      </c>
      <c r="K173" s="55">
        <v>0.05</v>
      </c>
      <c r="L173" s="55">
        <v>0.02</v>
      </c>
      <c r="M173" s="55">
        <v>7.0000000000000007E-2</v>
      </c>
      <c r="N173" s="55"/>
    </row>
    <row r="174" spans="1:14">
      <c r="A174" s="55">
        <v>134</v>
      </c>
      <c r="B174" s="55" t="s">
        <v>1079</v>
      </c>
      <c r="C174" s="55" t="s">
        <v>20</v>
      </c>
      <c r="D174" s="22">
        <v>8</v>
      </c>
      <c r="E174" s="22">
        <v>0</v>
      </c>
      <c r="F174" s="22">
        <v>58</v>
      </c>
      <c r="G174" s="22">
        <v>0</v>
      </c>
      <c r="H174" s="55">
        <v>0</v>
      </c>
      <c r="I174" s="55">
        <v>0</v>
      </c>
      <c r="J174" s="55">
        <v>0.04</v>
      </c>
      <c r="K174" s="55">
        <v>0.05</v>
      </c>
      <c r="L174" s="55">
        <v>0</v>
      </c>
      <c r="M174" s="55">
        <v>0</v>
      </c>
      <c r="N174" s="55"/>
    </row>
    <row r="175" spans="1:14">
      <c r="A175" s="55">
        <v>135</v>
      </c>
      <c r="B175" s="55" t="s">
        <v>573</v>
      </c>
      <c r="C175" s="55" t="s">
        <v>20</v>
      </c>
      <c r="D175" s="22">
        <v>24</v>
      </c>
      <c r="E175" s="22">
        <v>0</v>
      </c>
      <c r="F175" s="22">
        <v>57</v>
      </c>
      <c r="G175" s="22">
        <v>27</v>
      </c>
      <c r="H175" s="55">
        <v>0</v>
      </c>
      <c r="I175" s="55">
        <v>111.11</v>
      </c>
      <c r="J175" s="55">
        <v>0.13</v>
      </c>
      <c r="K175" s="55">
        <v>0.05</v>
      </c>
      <c r="L175" s="55">
        <v>0</v>
      </c>
      <c r="M175" s="55">
        <v>0.03</v>
      </c>
      <c r="N175" s="55"/>
    </row>
    <row r="176" spans="1:14">
      <c r="A176" s="55">
        <v>136</v>
      </c>
      <c r="B176" s="55" t="s">
        <v>1024</v>
      </c>
      <c r="C176" s="55" t="s">
        <v>20</v>
      </c>
      <c r="D176" s="22">
        <v>1</v>
      </c>
      <c r="E176" s="22">
        <v>0</v>
      </c>
      <c r="F176" s="22">
        <v>57</v>
      </c>
      <c r="G176" s="22">
        <v>0</v>
      </c>
      <c r="H176" s="55">
        <v>0</v>
      </c>
      <c r="I176" s="55">
        <v>0</v>
      </c>
      <c r="J176" s="55">
        <v>0.01</v>
      </c>
      <c r="K176" s="55">
        <v>0.05</v>
      </c>
      <c r="L176" s="55">
        <v>0</v>
      </c>
      <c r="M176" s="55">
        <v>0</v>
      </c>
      <c r="N176" s="55"/>
    </row>
    <row r="177" spans="1:14" hidden="1">
      <c r="A177" s="55">
        <v>137</v>
      </c>
      <c r="B177" s="55" t="s">
        <v>428</v>
      </c>
      <c r="C177" s="55" t="s">
        <v>19</v>
      </c>
      <c r="D177" s="22">
        <v>9</v>
      </c>
      <c r="E177" s="22">
        <v>4</v>
      </c>
      <c r="F177" s="22">
        <v>56</v>
      </c>
      <c r="G177" s="22">
        <v>67</v>
      </c>
      <c r="H177" s="55">
        <v>125</v>
      </c>
      <c r="I177" s="55">
        <v>-16.420000000000002</v>
      </c>
      <c r="J177" s="55">
        <v>0.05</v>
      </c>
      <c r="K177" s="55">
        <v>0.05</v>
      </c>
      <c r="L177" s="55">
        <v>0.03</v>
      </c>
      <c r="M177" s="55">
        <v>0.06</v>
      </c>
      <c r="N177" s="55"/>
    </row>
    <row r="178" spans="1:14" hidden="1">
      <c r="A178" s="55">
        <v>138</v>
      </c>
      <c r="B178" s="55" t="s">
        <v>1130</v>
      </c>
      <c r="C178" s="55" t="s">
        <v>19</v>
      </c>
      <c r="D178" s="22">
        <v>2</v>
      </c>
      <c r="E178" s="22">
        <v>0</v>
      </c>
      <c r="F178" s="22">
        <v>52</v>
      </c>
      <c r="G178" s="22">
        <v>0</v>
      </c>
      <c r="H178" s="62">
        <v>0</v>
      </c>
      <c r="I178" s="62">
        <v>0</v>
      </c>
      <c r="J178" s="55">
        <v>0.01</v>
      </c>
      <c r="K178" s="55">
        <v>0.04</v>
      </c>
      <c r="L178" s="55">
        <v>0</v>
      </c>
      <c r="M178" s="55">
        <v>0</v>
      </c>
      <c r="N178" s="55"/>
    </row>
    <row r="179" spans="1:14" hidden="1">
      <c r="A179" s="55">
        <v>139</v>
      </c>
      <c r="B179" s="55" t="s">
        <v>550</v>
      </c>
      <c r="C179" s="55" t="s">
        <v>19</v>
      </c>
      <c r="D179" s="22">
        <v>1</v>
      </c>
      <c r="E179" s="22">
        <v>8</v>
      </c>
      <c r="F179" s="22">
        <v>51</v>
      </c>
      <c r="G179" s="22">
        <v>125</v>
      </c>
      <c r="H179" s="55">
        <v>-87.5</v>
      </c>
      <c r="I179" s="55">
        <v>-59.2</v>
      </c>
      <c r="J179" s="55">
        <v>0.01</v>
      </c>
      <c r="K179" s="55">
        <v>0.04</v>
      </c>
      <c r="L179" s="55">
        <v>7.0000000000000007E-2</v>
      </c>
      <c r="M179" s="55">
        <v>0.12</v>
      </c>
      <c r="N179" s="55"/>
    </row>
    <row r="180" spans="1:14" hidden="1">
      <c r="A180" s="55">
        <v>140</v>
      </c>
      <c r="B180" s="55" t="s">
        <v>609</v>
      </c>
      <c r="C180" s="55" t="s">
        <v>19</v>
      </c>
      <c r="D180" s="22">
        <v>3</v>
      </c>
      <c r="E180" s="22">
        <v>6</v>
      </c>
      <c r="F180" s="22">
        <v>51</v>
      </c>
      <c r="G180" s="22">
        <v>54</v>
      </c>
      <c r="H180" s="62">
        <v>-50</v>
      </c>
      <c r="I180" s="62">
        <v>-5.56</v>
      </c>
      <c r="J180" s="55">
        <v>0.02</v>
      </c>
      <c r="K180" s="55">
        <v>0.04</v>
      </c>
      <c r="L180" s="55">
        <v>0.05</v>
      </c>
      <c r="M180" s="55">
        <v>0.05</v>
      </c>
      <c r="N180" s="55"/>
    </row>
    <row r="181" spans="1:14" hidden="1">
      <c r="A181" s="55">
        <v>141</v>
      </c>
      <c r="B181" s="55" t="s">
        <v>190</v>
      </c>
      <c r="C181" s="55" t="s">
        <v>19</v>
      </c>
      <c r="D181" s="22">
        <v>5</v>
      </c>
      <c r="E181" s="22">
        <v>0</v>
      </c>
      <c r="F181" s="22">
        <v>51</v>
      </c>
      <c r="G181" s="22">
        <v>0</v>
      </c>
      <c r="H181" s="55">
        <v>0</v>
      </c>
      <c r="I181" s="55">
        <v>0</v>
      </c>
      <c r="J181" s="55">
        <v>0.03</v>
      </c>
      <c r="K181" s="55">
        <v>0.04</v>
      </c>
      <c r="L181" s="55">
        <v>0</v>
      </c>
      <c r="M181" s="55">
        <v>0</v>
      </c>
      <c r="N181" s="55"/>
    </row>
    <row r="182" spans="1:14">
      <c r="A182" s="55">
        <v>142</v>
      </c>
      <c r="B182" s="55" t="s">
        <v>556</v>
      </c>
      <c r="C182" s="55" t="s">
        <v>20</v>
      </c>
      <c r="D182" s="22">
        <v>4</v>
      </c>
      <c r="E182" s="22">
        <v>1</v>
      </c>
      <c r="F182" s="22">
        <v>48</v>
      </c>
      <c r="G182" s="22">
        <v>124</v>
      </c>
      <c r="H182" s="55">
        <v>300</v>
      </c>
      <c r="I182" s="55">
        <v>-61.29</v>
      </c>
      <c r="J182" s="55">
        <v>0.02</v>
      </c>
      <c r="K182" s="55">
        <v>0.04</v>
      </c>
      <c r="L182" s="55">
        <v>0.01</v>
      </c>
      <c r="M182" s="55">
        <v>0.12</v>
      </c>
      <c r="N182" s="55"/>
    </row>
    <row r="183" spans="1:14">
      <c r="A183" s="55">
        <v>143</v>
      </c>
      <c r="B183" s="55" t="s">
        <v>437</v>
      </c>
      <c r="C183" s="55" t="s">
        <v>20</v>
      </c>
      <c r="D183" s="22">
        <v>11</v>
      </c>
      <c r="E183" s="22">
        <v>1</v>
      </c>
      <c r="F183" s="22">
        <v>46</v>
      </c>
      <c r="G183" s="22">
        <v>21</v>
      </c>
      <c r="H183" s="55">
        <v>1000</v>
      </c>
      <c r="I183" s="55">
        <v>119.05</v>
      </c>
      <c r="J183" s="55">
        <v>0.06</v>
      </c>
      <c r="K183" s="55">
        <v>0.04</v>
      </c>
      <c r="L183" s="55">
        <v>0.01</v>
      </c>
      <c r="M183" s="55">
        <v>0.02</v>
      </c>
      <c r="N183" s="55"/>
    </row>
    <row r="184" spans="1:14" hidden="1">
      <c r="A184" s="55">
        <v>144</v>
      </c>
      <c r="B184" s="55" t="s">
        <v>435</v>
      </c>
      <c r="C184" s="55" t="s">
        <v>19</v>
      </c>
      <c r="D184" s="22">
        <v>4</v>
      </c>
      <c r="E184" s="22">
        <v>0</v>
      </c>
      <c r="F184" s="22">
        <v>45</v>
      </c>
      <c r="G184" s="22">
        <v>23</v>
      </c>
      <c r="H184" s="55">
        <v>0</v>
      </c>
      <c r="I184" s="55">
        <v>95.65</v>
      </c>
      <c r="J184" s="55">
        <v>0.02</v>
      </c>
      <c r="K184" s="55">
        <v>0.04</v>
      </c>
      <c r="L184" s="55">
        <v>0</v>
      </c>
      <c r="M184" s="55">
        <v>0.02</v>
      </c>
      <c r="N184" s="55"/>
    </row>
    <row r="185" spans="1:14">
      <c r="A185" s="55">
        <v>145</v>
      </c>
      <c r="B185" s="55" t="s">
        <v>647</v>
      </c>
      <c r="C185" s="55" t="s">
        <v>20</v>
      </c>
      <c r="D185" s="22">
        <v>5</v>
      </c>
      <c r="E185" s="22">
        <v>5</v>
      </c>
      <c r="F185" s="22">
        <v>43</v>
      </c>
      <c r="G185" s="22">
        <v>45</v>
      </c>
      <c r="H185" s="55">
        <v>0</v>
      </c>
      <c r="I185" s="55">
        <v>-4.4400000000000004</v>
      </c>
      <c r="J185" s="55">
        <v>0.03</v>
      </c>
      <c r="K185" s="55">
        <v>0.03</v>
      </c>
      <c r="L185" s="55">
        <v>0.04</v>
      </c>
      <c r="M185" s="55">
        <v>0.04</v>
      </c>
      <c r="N185" s="55"/>
    </row>
    <row r="186" spans="1:14">
      <c r="A186" s="55">
        <v>146</v>
      </c>
      <c r="B186" s="55" t="s">
        <v>1263</v>
      </c>
      <c r="C186" s="55" t="s">
        <v>20</v>
      </c>
      <c r="D186" s="22">
        <v>41</v>
      </c>
      <c r="E186" s="22">
        <v>0</v>
      </c>
      <c r="F186" s="22">
        <v>41</v>
      </c>
      <c r="G186" s="22">
        <v>0</v>
      </c>
      <c r="H186" s="55">
        <v>0</v>
      </c>
      <c r="I186" s="55">
        <v>0</v>
      </c>
      <c r="J186" s="55">
        <v>0.23</v>
      </c>
      <c r="K186" s="55">
        <v>0.03</v>
      </c>
      <c r="L186" s="55">
        <v>0</v>
      </c>
      <c r="M186" s="55">
        <v>0</v>
      </c>
      <c r="N186" s="55"/>
    </row>
    <row r="187" spans="1:14">
      <c r="A187" s="55">
        <v>147</v>
      </c>
      <c r="B187" s="55" t="s">
        <v>644</v>
      </c>
      <c r="C187" s="55" t="s">
        <v>20</v>
      </c>
      <c r="D187" s="22">
        <v>9</v>
      </c>
      <c r="E187" s="22">
        <v>7</v>
      </c>
      <c r="F187" s="22">
        <v>40</v>
      </c>
      <c r="G187" s="22">
        <v>77</v>
      </c>
      <c r="H187" s="55">
        <v>28.57</v>
      </c>
      <c r="I187" s="55">
        <v>-48.05</v>
      </c>
      <c r="J187" s="55">
        <v>0.05</v>
      </c>
      <c r="K187" s="55">
        <v>0.03</v>
      </c>
      <c r="L187" s="55">
        <v>0.06</v>
      </c>
      <c r="M187" s="55">
        <v>7.0000000000000007E-2</v>
      </c>
      <c r="N187" s="55"/>
    </row>
    <row r="188" spans="1:14">
      <c r="A188" s="55">
        <v>148</v>
      </c>
      <c r="B188" s="55" t="s">
        <v>495</v>
      </c>
      <c r="C188" s="55" t="s">
        <v>20</v>
      </c>
      <c r="D188" s="22">
        <v>0</v>
      </c>
      <c r="E188" s="22">
        <v>3</v>
      </c>
      <c r="F188" s="22">
        <v>39</v>
      </c>
      <c r="G188" s="22">
        <v>80</v>
      </c>
      <c r="H188" s="55">
        <v>-100</v>
      </c>
      <c r="I188" s="55">
        <v>-51.25</v>
      </c>
      <c r="J188" s="55">
        <v>0</v>
      </c>
      <c r="K188" s="55">
        <v>0.03</v>
      </c>
      <c r="L188" s="55">
        <v>0.02</v>
      </c>
      <c r="M188" s="55">
        <v>0.08</v>
      </c>
      <c r="N188" s="55"/>
    </row>
    <row r="189" spans="1:14">
      <c r="A189" s="55">
        <v>149</v>
      </c>
      <c r="B189" s="55" t="s">
        <v>1153</v>
      </c>
      <c r="C189" s="55" t="s">
        <v>20</v>
      </c>
      <c r="D189" s="22">
        <v>11</v>
      </c>
      <c r="E189" s="22">
        <v>0</v>
      </c>
      <c r="F189" s="22">
        <v>38</v>
      </c>
      <c r="G189" s="22">
        <v>3</v>
      </c>
      <c r="H189" s="55">
        <v>0</v>
      </c>
      <c r="I189" s="55">
        <v>1166.67</v>
      </c>
      <c r="J189" s="55">
        <v>0.06</v>
      </c>
      <c r="K189" s="55">
        <v>0.03</v>
      </c>
      <c r="L189" s="55">
        <v>0</v>
      </c>
      <c r="M189" s="55">
        <v>0</v>
      </c>
      <c r="N189" s="55"/>
    </row>
    <row r="190" spans="1:14">
      <c r="A190" s="55">
        <v>150</v>
      </c>
      <c r="B190" s="55" t="s">
        <v>1076</v>
      </c>
      <c r="C190" s="55" t="s">
        <v>20</v>
      </c>
      <c r="D190" s="22">
        <v>3</v>
      </c>
      <c r="E190" s="22">
        <v>0</v>
      </c>
      <c r="F190" s="22">
        <v>38</v>
      </c>
      <c r="G190" s="22">
        <v>0</v>
      </c>
      <c r="H190" s="55">
        <v>0</v>
      </c>
      <c r="I190" s="55">
        <v>0</v>
      </c>
      <c r="J190" s="55">
        <v>0.02</v>
      </c>
      <c r="K190" s="55">
        <v>0.03</v>
      </c>
      <c r="L190" s="55">
        <v>0</v>
      </c>
      <c r="M190" s="55">
        <v>0</v>
      </c>
      <c r="N190" s="55"/>
    </row>
    <row r="191" spans="1:14" hidden="1">
      <c r="A191" s="55">
        <v>151</v>
      </c>
      <c r="B191" s="55" t="s">
        <v>417</v>
      </c>
      <c r="C191" s="55" t="s">
        <v>19</v>
      </c>
      <c r="D191" s="22">
        <v>7</v>
      </c>
      <c r="E191" s="22">
        <v>3</v>
      </c>
      <c r="F191" s="22">
        <v>36</v>
      </c>
      <c r="G191" s="22">
        <v>55</v>
      </c>
      <c r="H191" s="55">
        <v>133.33000000000001</v>
      </c>
      <c r="I191" s="55">
        <v>-34.549999999999997</v>
      </c>
      <c r="J191" s="55">
        <v>0.04</v>
      </c>
      <c r="K191" s="55">
        <v>0.03</v>
      </c>
      <c r="L191" s="55">
        <v>0.02</v>
      </c>
      <c r="M191" s="55">
        <v>0.05</v>
      </c>
      <c r="N191" s="55"/>
    </row>
    <row r="192" spans="1:14" hidden="1">
      <c r="A192" s="55">
        <v>152</v>
      </c>
      <c r="B192" s="55" t="s">
        <v>426</v>
      </c>
      <c r="C192" s="55" t="s">
        <v>19</v>
      </c>
      <c r="D192" s="22">
        <v>0</v>
      </c>
      <c r="E192" s="22">
        <v>18</v>
      </c>
      <c r="F192" s="22">
        <v>35</v>
      </c>
      <c r="G192" s="22">
        <v>76</v>
      </c>
      <c r="H192" s="55">
        <v>-100</v>
      </c>
      <c r="I192" s="55">
        <v>-53.95</v>
      </c>
      <c r="J192" s="55">
        <v>0</v>
      </c>
      <c r="K192" s="55">
        <v>0.03</v>
      </c>
      <c r="L192" s="55">
        <v>0.15</v>
      </c>
      <c r="M192" s="55">
        <v>7.0000000000000007E-2</v>
      </c>
      <c r="N192" s="55"/>
    </row>
    <row r="193" spans="1:14">
      <c r="A193" s="55">
        <v>153</v>
      </c>
      <c r="B193" s="55" t="s">
        <v>704</v>
      </c>
      <c r="C193" s="55" t="s">
        <v>20</v>
      </c>
      <c r="D193" s="22">
        <v>0</v>
      </c>
      <c r="E193" s="22">
        <v>9</v>
      </c>
      <c r="F193" s="22">
        <v>35</v>
      </c>
      <c r="G193" s="22">
        <v>16</v>
      </c>
      <c r="H193" s="55">
        <v>-100</v>
      </c>
      <c r="I193" s="55">
        <v>118.75</v>
      </c>
      <c r="J193" s="55">
        <v>0</v>
      </c>
      <c r="K193" s="55">
        <v>0.03</v>
      </c>
      <c r="L193" s="55">
        <v>7.0000000000000007E-2</v>
      </c>
      <c r="M193" s="55">
        <v>0.02</v>
      </c>
      <c r="N193" s="55"/>
    </row>
    <row r="194" spans="1:14" hidden="1">
      <c r="A194" s="55">
        <v>154</v>
      </c>
      <c r="B194" s="55" t="s">
        <v>1224</v>
      </c>
      <c r="C194" s="55" t="s">
        <v>19</v>
      </c>
      <c r="D194" s="22">
        <v>14</v>
      </c>
      <c r="E194" s="22">
        <v>0</v>
      </c>
      <c r="F194" s="22">
        <v>35</v>
      </c>
      <c r="G194" s="22">
        <v>0</v>
      </c>
      <c r="H194" s="62">
        <v>0</v>
      </c>
      <c r="I194" s="62">
        <v>0</v>
      </c>
      <c r="J194" s="62">
        <v>0.08</v>
      </c>
      <c r="K194" s="62">
        <v>0.03</v>
      </c>
      <c r="L194" s="62">
        <v>0</v>
      </c>
      <c r="M194" s="62">
        <v>0</v>
      </c>
      <c r="N194" s="55"/>
    </row>
    <row r="195" spans="1:14">
      <c r="A195" s="55">
        <v>155</v>
      </c>
      <c r="B195" s="55" t="s">
        <v>498</v>
      </c>
      <c r="C195" s="55" t="s">
        <v>20</v>
      </c>
      <c r="D195" s="22">
        <v>0</v>
      </c>
      <c r="E195" s="22">
        <v>5</v>
      </c>
      <c r="F195" s="22">
        <v>34</v>
      </c>
      <c r="G195" s="22">
        <v>63</v>
      </c>
      <c r="H195" s="55">
        <v>-100</v>
      </c>
      <c r="I195" s="55">
        <v>-46.03</v>
      </c>
      <c r="J195" s="55">
        <v>0</v>
      </c>
      <c r="K195" s="55">
        <v>0.03</v>
      </c>
      <c r="L195" s="55">
        <v>0.04</v>
      </c>
      <c r="M195" s="55">
        <v>0.06</v>
      </c>
      <c r="N195" s="55"/>
    </row>
    <row r="196" spans="1:14" hidden="1">
      <c r="A196" s="55">
        <v>156</v>
      </c>
      <c r="B196" s="55" t="s">
        <v>489</v>
      </c>
      <c r="C196" s="55" t="s">
        <v>19</v>
      </c>
      <c r="D196" s="22">
        <v>5</v>
      </c>
      <c r="E196" s="22">
        <v>0</v>
      </c>
      <c r="F196" s="22">
        <v>34</v>
      </c>
      <c r="G196" s="22">
        <v>27</v>
      </c>
      <c r="H196" s="55">
        <v>0</v>
      </c>
      <c r="I196" s="55">
        <v>25.93</v>
      </c>
      <c r="J196" s="55">
        <v>0.03</v>
      </c>
      <c r="K196" s="55">
        <v>0.03</v>
      </c>
      <c r="L196" s="55">
        <v>0</v>
      </c>
      <c r="M196" s="55">
        <v>0.03</v>
      </c>
      <c r="N196" s="55"/>
    </row>
    <row r="197" spans="1:14" hidden="1">
      <c r="A197" s="55">
        <v>157</v>
      </c>
      <c r="B197" s="55" t="s">
        <v>139</v>
      </c>
      <c r="C197" s="55" t="s">
        <v>19</v>
      </c>
      <c r="D197" s="22">
        <v>0</v>
      </c>
      <c r="E197" s="22">
        <v>13</v>
      </c>
      <c r="F197" s="22">
        <v>30</v>
      </c>
      <c r="G197" s="22">
        <v>142</v>
      </c>
      <c r="H197" s="55">
        <v>-100</v>
      </c>
      <c r="I197" s="55">
        <v>-78.87</v>
      </c>
      <c r="J197" s="55">
        <v>0</v>
      </c>
      <c r="K197" s="55">
        <v>0.02</v>
      </c>
      <c r="L197" s="55">
        <v>0.11</v>
      </c>
      <c r="M197" s="55">
        <v>0.13</v>
      </c>
      <c r="N197" s="55"/>
    </row>
    <row r="198" spans="1:14" hidden="1">
      <c r="A198" s="55">
        <v>158</v>
      </c>
      <c r="B198" s="55" t="s">
        <v>987</v>
      </c>
      <c r="C198" s="55" t="s">
        <v>19</v>
      </c>
      <c r="D198" s="22">
        <v>0</v>
      </c>
      <c r="E198" s="22">
        <v>7</v>
      </c>
      <c r="F198" s="22">
        <v>30</v>
      </c>
      <c r="G198" s="22">
        <v>63</v>
      </c>
      <c r="H198" s="55">
        <v>-100</v>
      </c>
      <c r="I198" s="55">
        <v>-52.38</v>
      </c>
      <c r="J198" s="55">
        <v>0</v>
      </c>
      <c r="K198" s="55">
        <v>0.02</v>
      </c>
      <c r="L198" s="55">
        <v>0.06</v>
      </c>
      <c r="M198" s="55">
        <v>0.06</v>
      </c>
      <c r="N198" s="55"/>
    </row>
    <row r="199" spans="1:14">
      <c r="A199" s="55">
        <v>159</v>
      </c>
      <c r="B199" s="55" t="s">
        <v>610</v>
      </c>
      <c r="C199" s="55" t="s">
        <v>20</v>
      </c>
      <c r="D199" s="22">
        <v>1</v>
      </c>
      <c r="E199" s="22">
        <v>2</v>
      </c>
      <c r="F199" s="22">
        <v>30</v>
      </c>
      <c r="G199" s="22">
        <v>17</v>
      </c>
      <c r="H199" s="55">
        <v>-50</v>
      </c>
      <c r="I199" s="55">
        <v>76.47</v>
      </c>
      <c r="J199" s="55">
        <v>0.01</v>
      </c>
      <c r="K199" s="55">
        <v>0.02</v>
      </c>
      <c r="L199" s="55">
        <v>0.02</v>
      </c>
      <c r="M199" s="55">
        <v>0.02</v>
      </c>
      <c r="N199" s="55"/>
    </row>
    <row r="200" spans="1:14">
      <c r="A200" s="55">
        <v>160</v>
      </c>
      <c r="B200" s="55" t="s">
        <v>1128</v>
      </c>
      <c r="C200" s="55" t="s">
        <v>20</v>
      </c>
      <c r="D200" s="22">
        <v>3</v>
      </c>
      <c r="E200" s="22">
        <v>0</v>
      </c>
      <c r="F200" s="22">
        <v>30</v>
      </c>
      <c r="G200" s="22">
        <v>0</v>
      </c>
      <c r="H200" s="55">
        <v>0</v>
      </c>
      <c r="I200" s="55">
        <v>0</v>
      </c>
      <c r="J200" s="55">
        <v>0.02</v>
      </c>
      <c r="K200" s="55">
        <v>0.02</v>
      </c>
      <c r="L200" s="55">
        <v>0</v>
      </c>
      <c r="M200" s="55">
        <v>0</v>
      </c>
      <c r="N200" s="55"/>
    </row>
    <row r="201" spans="1:14" hidden="1">
      <c r="A201" s="55">
        <v>161</v>
      </c>
      <c r="B201" s="55" t="s">
        <v>690</v>
      </c>
      <c r="C201" s="55" t="s">
        <v>19</v>
      </c>
      <c r="D201" s="22">
        <v>1</v>
      </c>
      <c r="E201" s="22">
        <v>2</v>
      </c>
      <c r="F201" s="22">
        <v>29</v>
      </c>
      <c r="G201" s="22">
        <v>13</v>
      </c>
      <c r="H201" s="55">
        <v>-50</v>
      </c>
      <c r="I201" s="55">
        <v>123.08</v>
      </c>
      <c r="J201" s="55">
        <v>0.01</v>
      </c>
      <c r="K201" s="55">
        <v>0.02</v>
      </c>
      <c r="L201" s="55">
        <v>0.02</v>
      </c>
      <c r="M201" s="55">
        <v>0.01</v>
      </c>
      <c r="N201" s="55"/>
    </row>
    <row r="202" spans="1:14" hidden="1">
      <c r="A202" s="55">
        <v>162</v>
      </c>
      <c r="B202" s="55" t="s">
        <v>702</v>
      </c>
      <c r="C202" s="55" t="s">
        <v>19</v>
      </c>
      <c r="D202" s="22">
        <v>1</v>
      </c>
      <c r="E202" s="22">
        <v>2</v>
      </c>
      <c r="F202" s="22">
        <v>28</v>
      </c>
      <c r="G202" s="22">
        <v>83</v>
      </c>
      <c r="H202" s="55">
        <v>-50</v>
      </c>
      <c r="I202" s="55">
        <v>-66.27</v>
      </c>
      <c r="J202" s="55">
        <v>0.01</v>
      </c>
      <c r="K202" s="55">
        <v>0.02</v>
      </c>
      <c r="L202" s="55">
        <v>0.02</v>
      </c>
      <c r="M202" s="55">
        <v>0.08</v>
      </c>
      <c r="N202" s="55"/>
    </row>
    <row r="203" spans="1:14">
      <c r="A203" s="55">
        <v>163</v>
      </c>
      <c r="B203" s="55" t="s">
        <v>1239</v>
      </c>
      <c r="C203" s="55" t="s">
        <v>20</v>
      </c>
      <c r="D203" s="22">
        <v>16</v>
      </c>
      <c r="E203" s="22">
        <v>0</v>
      </c>
      <c r="F203" s="22">
        <v>28</v>
      </c>
      <c r="G203" s="22">
        <v>0</v>
      </c>
      <c r="H203" s="55">
        <v>0</v>
      </c>
      <c r="I203" s="55">
        <v>0</v>
      </c>
      <c r="J203" s="55">
        <v>0.09</v>
      </c>
      <c r="K203" s="55">
        <v>0.02</v>
      </c>
      <c r="L203" s="55">
        <v>0</v>
      </c>
      <c r="M203" s="55">
        <v>0</v>
      </c>
      <c r="N203" s="55"/>
    </row>
    <row r="204" spans="1:14" hidden="1">
      <c r="A204" s="135">
        <v>164</v>
      </c>
      <c r="B204" s="135" t="s">
        <v>434</v>
      </c>
      <c r="C204" s="135" t="s">
        <v>19</v>
      </c>
      <c r="D204" s="142">
        <v>2</v>
      </c>
      <c r="E204" s="142">
        <v>5</v>
      </c>
      <c r="F204" s="142">
        <v>26</v>
      </c>
      <c r="G204" s="142">
        <v>86</v>
      </c>
      <c r="H204" s="135">
        <v>-60</v>
      </c>
      <c r="I204" s="135">
        <v>-69.77</v>
      </c>
      <c r="J204" s="135">
        <v>0.01</v>
      </c>
      <c r="K204" s="135">
        <v>0.02</v>
      </c>
      <c r="L204" s="135">
        <v>0.04</v>
      </c>
      <c r="M204" s="135">
        <v>0.08</v>
      </c>
      <c r="N204" s="55"/>
    </row>
    <row r="205" spans="1:14" hidden="1">
      <c r="A205" s="135">
        <v>165</v>
      </c>
      <c r="B205" s="135" t="s">
        <v>492</v>
      </c>
      <c r="C205" s="135" t="s">
        <v>19</v>
      </c>
      <c r="D205" s="142">
        <v>2</v>
      </c>
      <c r="E205" s="142">
        <v>1</v>
      </c>
      <c r="F205" s="142">
        <v>26</v>
      </c>
      <c r="G205" s="142">
        <v>8</v>
      </c>
      <c r="H205" s="135">
        <v>100</v>
      </c>
      <c r="I205" s="135">
        <v>225</v>
      </c>
      <c r="J205" s="135">
        <v>0.01</v>
      </c>
      <c r="K205" s="135">
        <v>0.02</v>
      </c>
      <c r="L205" s="135">
        <v>0.01</v>
      </c>
      <c r="M205" s="135">
        <v>0.01</v>
      </c>
      <c r="N205" s="55"/>
    </row>
    <row r="206" spans="1:14" hidden="1">
      <c r="A206" s="135">
        <v>166</v>
      </c>
      <c r="B206" s="135" t="s">
        <v>129</v>
      </c>
      <c r="C206" s="135" t="s">
        <v>19</v>
      </c>
      <c r="D206" s="142">
        <v>3</v>
      </c>
      <c r="E206" s="142">
        <v>2</v>
      </c>
      <c r="F206" s="142">
        <v>25</v>
      </c>
      <c r="G206" s="142">
        <v>76</v>
      </c>
      <c r="H206" s="135">
        <v>50</v>
      </c>
      <c r="I206" s="135">
        <v>-67.11</v>
      </c>
      <c r="J206" s="135">
        <v>0.02</v>
      </c>
      <c r="K206" s="135">
        <v>0.02</v>
      </c>
      <c r="L206" s="135">
        <v>0.02</v>
      </c>
      <c r="M206" s="135">
        <v>7.0000000000000007E-2</v>
      </c>
      <c r="N206" s="55"/>
    </row>
    <row r="207" spans="1:14">
      <c r="A207" s="135">
        <v>167</v>
      </c>
      <c r="B207" s="135" t="s">
        <v>429</v>
      </c>
      <c r="C207" s="135" t="s">
        <v>20</v>
      </c>
      <c r="D207" s="142">
        <v>0</v>
      </c>
      <c r="E207" s="142">
        <v>0</v>
      </c>
      <c r="F207" s="142">
        <v>24</v>
      </c>
      <c r="G207" s="142">
        <v>28</v>
      </c>
      <c r="H207" s="135">
        <v>0</v>
      </c>
      <c r="I207" s="135">
        <v>-14.29</v>
      </c>
      <c r="J207" s="135">
        <v>0</v>
      </c>
      <c r="K207" s="135">
        <v>0.02</v>
      </c>
      <c r="L207" s="135">
        <v>0</v>
      </c>
      <c r="M207" s="135">
        <v>0.03</v>
      </c>
      <c r="N207" s="55"/>
    </row>
    <row r="208" spans="1:14">
      <c r="A208" s="135">
        <v>168</v>
      </c>
      <c r="B208" s="135" t="s">
        <v>398</v>
      </c>
      <c r="C208" s="135" t="s">
        <v>20</v>
      </c>
      <c r="D208" s="142">
        <v>0</v>
      </c>
      <c r="E208" s="142">
        <v>38</v>
      </c>
      <c r="F208" s="142">
        <v>23</v>
      </c>
      <c r="G208" s="142">
        <v>179</v>
      </c>
      <c r="H208" s="135">
        <v>-100</v>
      </c>
      <c r="I208" s="135">
        <v>-87.15</v>
      </c>
      <c r="J208" s="135">
        <v>0</v>
      </c>
      <c r="K208" s="135">
        <v>0.02</v>
      </c>
      <c r="L208" s="135">
        <v>0.31</v>
      </c>
      <c r="M208" s="135">
        <v>0.17</v>
      </c>
      <c r="N208" s="55"/>
    </row>
    <row r="209" spans="1:14" hidden="1">
      <c r="A209" s="135">
        <v>169</v>
      </c>
      <c r="B209" s="135" t="s">
        <v>237</v>
      </c>
      <c r="C209" s="135" t="s">
        <v>19</v>
      </c>
      <c r="D209" s="142">
        <v>4</v>
      </c>
      <c r="E209" s="142">
        <v>2</v>
      </c>
      <c r="F209" s="142">
        <v>23</v>
      </c>
      <c r="G209" s="142">
        <v>16</v>
      </c>
      <c r="H209" s="135">
        <v>100</v>
      </c>
      <c r="I209" s="135">
        <v>43.75</v>
      </c>
      <c r="J209" s="135">
        <v>0.02</v>
      </c>
      <c r="K209" s="135">
        <v>0.02</v>
      </c>
      <c r="L209" s="135">
        <v>0.02</v>
      </c>
      <c r="M209" s="135">
        <v>0.02</v>
      </c>
      <c r="N209" s="55"/>
    </row>
    <row r="210" spans="1:14" hidden="1">
      <c r="A210" s="135">
        <v>170</v>
      </c>
      <c r="B210" s="135" t="s">
        <v>595</v>
      </c>
      <c r="C210" s="135" t="s">
        <v>19</v>
      </c>
      <c r="D210" s="142">
        <v>1</v>
      </c>
      <c r="E210" s="142">
        <v>0</v>
      </c>
      <c r="F210" s="142">
        <v>22</v>
      </c>
      <c r="G210" s="142">
        <v>47</v>
      </c>
      <c r="H210" s="135">
        <v>0</v>
      </c>
      <c r="I210" s="135">
        <v>-53.19</v>
      </c>
      <c r="J210" s="135">
        <v>0.01</v>
      </c>
      <c r="K210" s="135">
        <v>0.02</v>
      </c>
      <c r="L210" s="135">
        <v>0</v>
      </c>
      <c r="M210" s="135">
        <v>0.04</v>
      </c>
      <c r="N210" s="55"/>
    </row>
    <row r="211" spans="1:14" hidden="1">
      <c r="A211" s="135">
        <v>171</v>
      </c>
      <c r="B211" s="135" t="s">
        <v>698</v>
      </c>
      <c r="C211" s="135" t="s">
        <v>19</v>
      </c>
      <c r="D211" s="142">
        <v>1</v>
      </c>
      <c r="E211" s="142">
        <v>0</v>
      </c>
      <c r="F211" s="142">
        <v>22</v>
      </c>
      <c r="G211" s="142">
        <v>6</v>
      </c>
      <c r="H211" s="135">
        <v>0</v>
      </c>
      <c r="I211" s="135">
        <v>266.67</v>
      </c>
      <c r="J211" s="135">
        <v>0.01</v>
      </c>
      <c r="K211" s="135">
        <v>0.02</v>
      </c>
      <c r="L211" s="135">
        <v>0</v>
      </c>
      <c r="M211" s="135">
        <v>0.01</v>
      </c>
      <c r="N211" s="55"/>
    </row>
    <row r="212" spans="1:14" hidden="1">
      <c r="A212" s="135">
        <v>172</v>
      </c>
      <c r="B212" s="135" t="s">
        <v>419</v>
      </c>
      <c r="C212" s="135" t="s">
        <v>19</v>
      </c>
      <c r="D212" s="142">
        <v>6</v>
      </c>
      <c r="E212" s="142">
        <v>7</v>
      </c>
      <c r="F212" s="142">
        <v>19</v>
      </c>
      <c r="G212" s="142">
        <v>41</v>
      </c>
      <c r="H212" s="135">
        <v>-14.29</v>
      </c>
      <c r="I212" s="135">
        <v>-53.66</v>
      </c>
      <c r="J212" s="135">
        <v>0.03</v>
      </c>
      <c r="K212" s="135">
        <v>0.02</v>
      </c>
      <c r="L212" s="135">
        <v>0.06</v>
      </c>
      <c r="M212" s="135">
        <v>0.04</v>
      </c>
      <c r="N212" s="55"/>
    </row>
    <row r="213" spans="1:14" hidden="1">
      <c r="A213" s="135">
        <v>173</v>
      </c>
      <c r="B213" s="135" t="s">
        <v>497</v>
      </c>
      <c r="C213" s="135" t="s">
        <v>19</v>
      </c>
      <c r="D213" s="142">
        <v>0</v>
      </c>
      <c r="E213" s="142">
        <v>0</v>
      </c>
      <c r="F213" s="142">
        <v>19</v>
      </c>
      <c r="G213" s="142">
        <v>22</v>
      </c>
      <c r="H213" s="137">
        <v>0</v>
      </c>
      <c r="I213" s="137">
        <v>-13.64</v>
      </c>
      <c r="J213" s="137">
        <v>0</v>
      </c>
      <c r="K213" s="137">
        <v>0.02</v>
      </c>
      <c r="L213" s="137">
        <v>0</v>
      </c>
      <c r="M213" s="137">
        <v>0.02</v>
      </c>
      <c r="N213" s="55"/>
    </row>
    <row r="214" spans="1:14">
      <c r="A214" s="135">
        <v>174</v>
      </c>
      <c r="B214" s="135" t="s">
        <v>1269</v>
      </c>
      <c r="C214" s="135" t="s">
        <v>20</v>
      </c>
      <c r="D214" s="142">
        <v>19</v>
      </c>
      <c r="E214" s="142">
        <v>0</v>
      </c>
      <c r="F214" s="142">
        <v>19</v>
      </c>
      <c r="G214" s="142">
        <v>0</v>
      </c>
      <c r="H214" s="135">
        <v>0</v>
      </c>
      <c r="I214" s="135">
        <v>0</v>
      </c>
      <c r="J214" s="135">
        <v>0.11</v>
      </c>
      <c r="K214" s="135">
        <v>0.02</v>
      </c>
      <c r="L214" s="135">
        <v>0</v>
      </c>
      <c r="M214" s="135">
        <v>0</v>
      </c>
      <c r="N214" s="55"/>
    </row>
    <row r="215" spans="1:14">
      <c r="A215" s="135">
        <v>175</v>
      </c>
      <c r="B215" s="135" t="s">
        <v>1233</v>
      </c>
      <c r="C215" s="135" t="s">
        <v>20</v>
      </c>
      <c r="D215" s="142">
        <v>2</v>
      </c>
      <c r="E215" s="142">
        <v>0</v>
      </c>
      <c r="F215" s="142">
        <v>18</v>
      </c>
      <c r="G215" s="142">
        <v>0</v>
      </c>
      <c r="H215" s="135">
        <v>0</v>
      </c>
      <c r="I215" s="135">
        <v>0</v>
      </c>
      <c r="J215" s="135">
        <v>0.01</v>
      </c>
      <c r="K215" s="135">
        <v>0.01</v>
      </c>
      <c r="L215" s="135">
        <v>0</v>
      </c>
      <c r="M215" s="135">
        <v>0</v>
      </c>
      <c r="N215" s="55"/>
    </row>
    <row r="216" spans="1:14">
      <c r="A216" s="135">
        <v>176</v>
      </c>
      <c r="B216" s="135" t="s">
        <v>1036</v>
      </c>
      <c r="C216" s="135" t="s">
        <v>20</v>
      </c>
      <c r="D216" s="142">
        <v>1</v>
      </c>
      <c r="E216" s="142">
        <v>0</v>
      </c>
      <c r="F216" s="142">
        <v>18</v>
      </c>
      <c r="G216" s="142">
        <v>0</v>
      </c>
      <c r="H216" s="135">
        <v>0</v>
      </c>
      <c r="I216" s="135">
        <v>0</v>
      </c>
      <c r="J216" s="135">
        <v>0.01</v>
      </c>
      <c r="K216" s="135">
        <v>0.01</v>
      </c>
      <c r="L216" s="135">
        <v>0</v>
      </c>
      <c r="M216" s="135">
        <v>0</v>
      </c>
      <c r="N216" s="55"/>
    </row>
    <row r="217" spans="1:14">
      <c r="A217" s="135">
        <v>177</v>
      </c>
      <c r="B217" s="135" t="s">
        <v>1084</v>
      </c>
      <c r="C217" s="135" t="s">
        <v>20</v>
      </c>
      <c r="D217" s="142">
        <v>3</v>
      </c>
      <c r="E217" s="142">
        <v>0</v>
      </c>
      <c r="F217" s="142">
        <v>18</v>
      </c>
      <c r="G217" s="142">
        <v>0</v>
      </c>
      <c r="H217" s="135">
        <v>0</v>
      </c>
      <c r="I217" s="135">
        <v>0</v>
      </c>
      <c r="J217" s="135">
        <v>0.02</v>
      </c>
      <c r="K217" s="135">
        <v>0.01</v>
      </c>
      <c r="L217" s="135">
        <v>0</v>
      </c>
      <c r="M217" s="135">
        <v>0</v>
      </c>
      <c r="N217" s="55"/>
    </row>
    <row r="218" spans="1:14" hidden="1">
      <c r="A218" s="135">
        <v>178</v>
      </c>
      <c r="B218" s="135" t="s">
        <v>171</v>
      </c>
      <c r="C218" s="135" t="s">
        <v>19</v>
      </c>
      <c r="D218" s="142">
        <v>2</v>
      </c>
      <c r="E218" s="142">
        <v>0</v>
      </c>
      <c r="F218" s="142">
        <v>16</v>
      </c>
      <c r="G218" s="142">
        <v>30</v>
      </c>
      <c r="H218" s="135">
        <v>0</v>
      </c>
      <c r="I218" s="135">
        <v>-46.67</v>
      </c>
      <c r="J218" s="135">
        <v>0.01</v>
      </c>
      <c r="K218" s="135">
        <v>0.01</v>
      </c>
      <c r="L218" s="135">
        <v>0</v>
      </c>
      <c r="M218" s="135">
        <v>0.03</v>
      </c>
      <c r="N218" s="55"/>
    </row>
    <row r="219" spans="1:14">
      <c r="A219" s="135">
        <v>179</v>
      </c>
      <c r="B219" s="135" t="s">
        <v>1099</v>
      </c>
      <c r="C219" s="135" t="s">
        <v>20</v>
      </c>
      <c r="D219" s="142">
        <v>0</v>
      </c>
      <c r="E219" s="142">
        <v>2</v>
      </c>
      <c r="F219" s="142">
        <v>15</v>
      </c>
      <c r="G219" s="142">
        <v>13</v>
      </c>
      <c r="H219" s="135">
        <v>-100</v>
      </c>
      <c r="I219" s="135">
        <v>15.38</v>
      </c>
      <c r="J219" s="135">
        <v>0</v>
      </c>
      <c r="K219" s="135">
        <v>0.01</v>
      </c>
      <c r="L219" s="135">
        <v>0.02</v>
      </c>
      <c r="M219" s="135">
        <v>0.01</v>
      </c>
      <c r="N219" s="55"/>
    </row>
    <row r="220" spans="1:14">
      <c r="A220" s="135">
        <v>180</v>
      </c>
      <c r="B220" s="135" t="s">
        <v>386</v>
      </c>
      <c r="C220" s="135" t="s">
        <v>20</v>
      </c>
      <c r="D220" s="142">
        <v>0</v>
      </c>
      <c r="E220" s="142">
        <v>0</v>
      </c>
      <c r="F220" s="142">
        <v>14</v>
      </c>
      <c r="G220" s="142">
        <v>85</v>
      </c>
      <c r="H220" s="135">
        <v>0</v>
      </c>
      <c r="I220" s="135">
        <v>-83.53</v>
      </c>
      <c r="J220" s="135">
        <v>0</v>
      </c>
      <c r="K220" s="135">
        <v>0.01</v>
      </c>
      <c r="L220" s="135">
        <v>0</v>
      </c>
      <c r="M220" s="135">
        <v>0.08</v>
      </c>
      <c r="N220" s="55"/>
    </row>
    <row r="221" spans="1:14" hidden="1">
      <c r="A221" s="135">
        <v>181</v>
      </c>
      <c r="B221" s="135" t="s">
        <v>232</v>
      </c>
      <c r="C221" s="135" t="s">
        <v>19</v>
      </c>
      <c r="D221" s="142">
        <v>2</v>
      </c>
      <c r="E221" s="142">
        <v>6</v>
      </c>
      <c r="F221" s="142">
        <v>14</v>
      </c>
      <c r="G221" s="142">
        <v>28</v>
      </c>
      <c r="H221" s="135">
        <v>-66.67</v>
      </c>
      <c r="I221" s="135">
        <v>-50</v>
      </c>
      <c r="J221" s="135">
        <v>0.01</v>
      </c>
      <c r="K221" s="135">
        <v>0.01</v>
      </c>
      <c r="L221" s="135">
        <v>0.05</v>
      </c>
      <c r="M221" s="135">
        <v>0.03</v>
      </c>
      <c r="N221" s="55"/>
    </row>
    <row r="222" spans="1:14" hidden="1">
      <c r="A222" s="135">
        <v>182</v>
      </c>
      <c r="B222" s="135" t="s">
        <v>421</v>
      </c>
      <c r="C222" s="135" t="s">
        <v>19</v>
      </c>
      <c r="D222" s="142">
        <v>2</v>
      </c>
      <c r="E222" s="142">
        <v>0</v>
      </c>
      <c r="F222" s="142">
        <v>12</v>
      </c>
      <c r="G222" s="142">
        <v>31</v>
      </c>
      <c r="H222" s="135">
        <v>0</v>
      </c>
      <c r="I222" s="135">
        <v>-61.29</v>
      </c>
      <c r="J222" s="135">
        <v>0.01</v>
      </c>
      <c r="K222" s="135">
        <v>0.01</v>
      </c>
      <c r="L222" s="135">
        <v>0</v>
      </c>
      <c r="M222" s="135">
        <v>0.03</v>
      </c>
      <c r="N222" s="55"/>
    </row>
    <row r="223" spans="1:14">
      <c r="A223" s="135">
        <v>183</v>
      </c>
      <c r="B223" s="135" t="s">
        <v>1081</v>
      </c>
      <c r="C223" s="135" t="s">
        <v>20</v>
      </c>
      <c r="D223" s="142">
        <v>1</v>
      </c>
      <c r="E223" s="142">
        <v>1</v>
      </c>
      <c r="F223" s="142">
        <v>11</v>
      </c>
      <c r="G223" s="142">
        <v>16</v>
      </c>
      <c r="H223" s="135">
        <v>0</v>
      </c>
      <c r="I223" s="135">
        <v>-31.25</v>
      </c>
      <c r="J223" s="135">
        <v>0.01</v>
      </c>
      <c r="K223" s="135">
        <v>0.01</v>
      </c>
      <c r="L223" s="135">
        <v>0.01</v>
      </c>
      <c r="M223" s="135">
        <v>0.02</v>
      </c>
      <c r="N223" s="55"/>
    </row>
    <row r="224" spans="1:14" hidden="1">
      <c r="A224" s="135">
        <v>184</v>
      </c>
      <c r="B224" s="135" t="s">
        <v>389</v>
      </c>
      <c r="C224" s="135" t="s">
        <v>19</v>
      </c>
      <c r="D224" s="142">
        <v>0</v>
      </c>
      <c r="E224" s="142">
        <v>7</v>
      </c>
      <c r="F224" s="142">
        <v>11</v>
      </c>
      <c r="G224" s="142">
        <v>7</v>
      </c>
      <c r="H224" s="135">
        <v>-100</v>
      </c>
      <c r="I224" s="135">
        <v>57.14</v>
      </c>
      <c r="J224" s="135">
        <v>0</v>
      </c>
      <c r="K224" s="135">
        <v>0.01</v>
      </c>
      <c r="L224" s="135">
        <v>0.06</v>
      </c>
      <c r="M224" s="135">
        <v>0.01</v>
      </c>
      <c r="N224" s="55"/>
    </row>
    <row r="225" spans="1:14" hidden="1">
      <c r="A225" s="135">
        <v>185</v>
      </c>
      <c r="B225" s="135" t="s">
        <v>1216</v>
      </c>
      <c r="C225" s="135" t="s">
        <v>19</v>
      </c>
      <c r="D225" s="142">
        <v>2</v>
      </c>
      <c r="E225" s="142">
        <v>0</v>
      </c>
      <c r="F225" s="142">
        <v>11</v>
      </c>
      <c r="G225" s="142">
        <v>0</v>
      </c>
      <c r="H225" s="135">
        <v>0</v>
      </c>
      <c r="I225" s="135">
        <v>0</v>
      </c>
      <c r="J225" s="135">
        <v>0.01</v>
      </c>
      <c r="K225" s="135">
        <v>0.01</v>
      </c>
      <c r="L225" s="135">
        <v>0</v>
      </c>
      <c r="M225" s="135">
        <v>0</v>
      </c>
      <c r="N225" s="55"/>
    </row>
    <row r="226" spans="1:14" hidden="1">
      <c r="A226" s="135">
        <v>186</v>
      </c>
      <c r="B226" s="135" t="s">
        <v>359</v>
      </c>
      <c r="C226" s="135" t="s">
        <v>19</v>
      </c>
      <c r="D226" s="142">
        <v>0</v>
      </c>
      <c r="E226" s="142">
        <v>2</v>
      </c>
      <c r="F226" s="142">
        <v>9</v>
      </c>
      <c r="G226" s="142">
        <v>14</v>
      </c>
      <c r="H226" s="135">
        <v>-100</v>
      </c>
      <c r="I226" s="135">
        <v>-35.71</v>
      </c>
      <c r="J226" s="135">
        <v>0</v>
      </c>
      <c r="K226" s="135">
        <v>0.01</v>
      </c>
      <c r="L226" s="135">
        <v>0.02</v>
      </c>
      <c r="M226" s="135">
        <v>0.01</v>
      </c>
      <c r="N226" s="55"/>
    </row>
    <row r="227" spans="1:14" hidden="1">
      <c r="A227" s="135">
        <v>187</v>
      </c>
      <c r="B227" s="135" t="s">
        <v>1159</v>
      </c>
      <c r="C227" s="135" t="s">
        <v>19</v>
      </c>
      <c r="D227" s="142">
        <v>0</v>
      </c>
      <c r="E227" s="142">
        <v>0</v>
      </c>
      <c r="F227" s="142">
        <v>9</v>
      </c>
      <c r="G227" s="142">
        <v>0</v>
      </c>
      <c r="H227" s="135">
        <v>0</v>
      </c>
      <c r="I227" s="135">
        <v>0</v>
      </c>
      <c r="J227" s="135">
        <v>0</v>
      </c>
      <c r="K227" s="135">
        <v>0.01</v>
      </c>
      <c r="L227" s="135">
        <v>0</v>
      </c>
      <c r="M227" s="135">
        <v>0</v>
      </c>
      <c r="N227" s="55"/>
    </row>
    <row r="228" spans="1:14">
      <c r="A228" s="135">
        <v>188</v>
      </c>
      <c r="B228" s="135" t="s">
        <v>1225</v>
      </c>
      <c r="C228" s="135" t="s">
        <v>20</v>
      </c>
      <c r="D228" s="142">
        <v>0</v>
      </c>
      <c r="E228" s="142">
        <v>0</v>
      </c>
      <c r="F228" s="142">
        <v>8</v>
      </c>
      <c r="G228" s="142">
        <v>0</v>
      </c>
      <c r="H228" s="135">
        <v>0</v>
      </c>
      <c r="I228" s="135">
        <v>0</v>
      </c>
      <c r="J228" s="135">
        <v>0</v>
      </c>
      <c r="K228" s="135">
        <v>0.01</v>
      </c>
      <c r="L228" s="135">
        <v>0</v>
      </c>
      <c r="M228" s="135">
        <v>0</v>
      </c>
      <c r="N228" s="55"/>
    </row>
    <row r="229" spans="1:14" hidden="1">
      <c r="A229" s="135">
        <v>189</v>
      </c>
      <c r="B229" s="135" t="s">
        <v>1157</v>
      </c>
      <c r="C229" s="135" t="s">
        <v>19</v>
      </c>
      <c r="D229" s="142">
        <v>3</v>
      </c>
      <c r="E229" s="142">
        <v>0</v>
      </c>
      <c r="F229" s="142">
        <v>7</v>
      </c>
      <c r="G229" s="142">
        <v>0</v>
      </c>
      <c r="H229" s="135">
        <v>0</v>
      </c>
      <c r="I229" s="135">
        <v>0</v>
      </c>
      <c r="J229" s="135">
        <v>0.02</v>
      </c>
      <c r="K229" s="135">
        <v>0.01</v>
      </c>
      <c r="L229" s="135">
        <v>0</v>
      </c>
      <c r="M229" s="135">
        <v>0</v>
      </c>
      <c r="N229" s="55"/>
    </row>
    <row r="230" spans="1:14" hidden="1">
      <c r="A230" s="135">
        <v>190</v>
      </c>
      <c r="B230" s="135" t="s">
        <v>377</v>
      </c>
      <c r="C230" s="135" t="s">
        <v>19</v>
      </c>
      <c r="D230" s="142">
        <v>0</v>
      </c>
      <c r="E230" s="142">
        <v>2</v>
      </c>
      <c r="F230" s="142">
        <v>6</v>
      </c>
      <c r="G230" s="142">
        <v>72</v>
      </c>
      <c r="H230" s="135">
        <v>-100</v>
      </c>
      <c r="I230" s="135">
        <v>-91.67</v>
      </c>
      <c r="J230" s="135">
        <v>0</v>
      </c>
      <c r="K230" s="135">
        <v>0</v>
      </c>
      <c r="L230" s="135">
        <v>0.02</v>
      </c>
      <c r="M230" s="135">
        <v>7.0000000000000007E-2</v>
      </c>
      <c r="N230" s="55"/>
    </row>
    <row r="231" spans="1:14" hidden="1">
      <c r="A231" s="135">
        <v>191</v>
      </c>
      <c r="B231" s="135" t="s">
        <v>1095</v>
      </c>
      <c r="C231" s="135" t="s">
        <v>19</v>
      </c>
      <c r="D231" s="142">
        <v>0</v>
      </c>
      <c r="E231" s="142">
        <v>0</v>
      </c>
      <c r="F231" s="142">
        <v>5</v>
      </c>
      <c r="G231" s="142">
        <v>3</v>
      </c>
      <c r="H231" s="135">
        <v>0</v>
      </c>
      <c r="I231" s="135">
        <v>66.67</v>
      </c>
      <c r="J231" s="135">
        <v>0</v>
      </c>
      <c r="K231" s="135">
        <v>0</v>
      </c>
      <c r="L231" s="135">
        <v>0</v>
      </c>
      <c r="M231" s="135">
        <v>0</v>
      </c>
      <c r="N231" s="55"/>
    </row>
    <row r="232" spans="1:14" hidden="1">
      <c r="A232" s="135">
        <v>192</v>
      </c>
      <c r="B232" s="135" t="s">
        <v>1096</v>
      </c>
      <c r="C232" s="135" t="s">
        <v>19</v>
      </c>
      <c r="D232" s="142">
        <v>0</v>
      </c>
      <c r="E232" s="142">
        <v>0</v>
      </c>
      <c r="F232" s="142">
        <v>5</v>
      </c>
      <c r="G232" s="142">
        <v>0</v>
      </c>
      <c r="H232" s="135">
        <v>0</v>
      </c>
      <c r="I232" s="135">
        <v>0</v>
      </c>
      <c r="J232" s="135">
        <v>0</v>
      </c>
      <c r="K232" s="135">
        <v>0</v>
      </c>
      <c r="L232" s="135">
        <v>0</v>
      </c>
      <c r="M232" s="135">
        <v>0</v>
      </c>
      <c r="N232" s="55"/>
    </row>
    <row r="233" spans="1:14" hidden="1">
      <c r="A233" s="135">
        <v>193</v>
      </c>
      <c r="B233" s="135" t="s">
        <v>494</v>
      </c>
      <c r="C233" s="135" t="s">
        <v>19</v>
      </c>
      <c r="D233" s="142">
        <v>0</v>
      </c>
      <c r="E233" s="142">
        <v>4</v>
      </c>
      <c r="F233" s="142">
        <v>4</v>
      </c>
      <c r="G233" s="142">
        <v>39</v>
      </c>
      <c r="H233" s="135">
        <v>-100</v>
      </c>
      <c r="I233" s="135">
        <v>-89.74</v>
      </c>
      <c r="J233" s="135">
        <v>0</v>
      </c>
      <c r="K233" s="135">
        <v>0</v>
      </c>
      <c r="L233" s="135">
        <v>0.03</v>
      </c>
      <c r="M233" s="135">
        <v>0.04</v>
      </c>
      <c r="N233" s="55"/>
    </row>
    <row r="234" spans="1:14" hidden="1">
      <c r="A234" s="135">
        <v>194</v>
      </c>
      <c r="B234" s="135" t="s">
        <v>433</v>
      </c>
      <c r="C234" s="135" t="s">
        <v>19</v>
      </c>
      <c r="D234" s="142">
        <v>0</v>
      </c>
      <c r="E234" s="142">
        <v>0</v>
      </c>
      <c r="F234" s="142">
        <v>4</v>
      </c>
      <c r="G234" s="142">
        <v>5</v>
      </c>
      <c r="H234" s="135">
        <v>0</v>
      </c>
      <c r="I234" s="135">
        <v>-20</v>
      </c>
      <c r="J234" s="135">
        <v>0</v>
      </c>
      <c r="K234" s="135">
        <v>0</v>
      </c>
      <c r="L234" s="135">
        <v>0</v>
      </c>
      <c r="M234" s="135">
        <v>0</v>
      </c>
      <c r="N234" s="55"/>
    </row>
    <row r="235" spans="1:14" hidden="1">
      <c r="A235" s="135">
        <v>195</v>
      </c>
      <c r="B235" s="135" t="s">
        <v>1061</v>
      </c>
      <c r="C235" s="135" t="s">
        <v>19</v>
      </c>
      <c r="D235" s="142">
        <v>0</v>
      </c>
      <c r="E235" s="142">
        <v>0</v>
      </c>
      <c r="F235" s="142">
        <v>4</v>
      </c>
      <c r="G235" s="142">
        <v>0</v>
      </c>
      <c r="H235" s="135">
        <v>0</v>
      </c>
      <c r="I235" s="135">
        <v>0</v>
      </c>
      <c r="J235" s="135">
        <v>0</v>
      </c>
      <c r="K235" s="135">
        <v>0</v>
      </c>
      <c r="L235" s="135">
        <v>0</v>
      </c>
      <c r="M235" s="135">
        <v>0</v>
      </c>
    </row>
    <row r="236" spans="1:14" hidden="1">
      <c r="A236" s="135">
        <v>196</v>
      </c>
      <c r="B236" s="135" t="s">
        <v>140</v>
      </c>
      <c r="C236" s="135" t="s">
        <v>19</v>
      </c>
      <c r="D236" s="142">
        <v>0</v>
      </c>
      <c r="E236" s="142">
        <v>2</v>
      </c>
      <c r="F236" s="142">
        <v>3</v>
      </c>
      <c r="G236" s="142">
        <v>102</v>
      </c>
      <c r="H236" s="135">
        <v>-100</v>
      </c>
      <c r="I236" s="135">
        <v>-97.06</v>
      </c>
      <c r="J236" s="135">
        <v>0</v>
      </c>
      <c r="K236" s="135">
        <v>0</v>
      </c>
      <c r="L236" s="135">
        <v>0.02</v>
      </c>
      <c r="M236" s="135">
        <v>0.1</v>
      </c>
    </row>
    <row r="237" spans="1:14" hidden="1">
      <c r="A237" s="135">
        <v>197</v>
      </c>
      <c r="B237" s="135" t="s">
        <v>1098</v>
      </c>
      <c r="C237" s="135" t="s">
        <v>19</v>
      </c>
      <c r="D237" s="142">
        <v>1</v>
      </c>
      <c r="E237" s="142">
        <v>1</v>
      </c>
      <c r="F237" s="142">
        <v>3</v>
      </c>
      <c r="G237" s="142">
        <v>4</v>
      </c>
      <c r="H237" s="135">
        <v>0</v>
      </c>
      <c r="I237" s="135">
        <v>-25</v>
      </c>
      <c r="J237" s="135">
        <v>0.01</v>
      </c>
      <c r="K237" s="135">
        <v>0</v>
      </c>
      <c r="L237" s="135">
        <v>0.01</v>
      </c>
      <c r="M237" s="135">
        <v>0</v>
      </c>
    </row>
    <row r="238" spans="1:14" hidden="1">
      <c r="A238" s="135">
        <v>198</v>
      </c>
      <c r="B238" s="135" t="s">
        <v>1102</v>
      </c>
      <c r="C238" s="135" t="s">
        <v>19</v>
      </c>
      <c r="D238" s="142">
        <v>1</v>
      </c>
      <c r="E238" s="142">
        <v>0</v>
      </c>
      <c r="F238" s="142">
        <v>3</v>
      </c>
      <c r="G238" s="142">
        <v>2</v>
      </c>
      <c r="H238" s="135">
        <v>0</v>
      </c>
      <c r="I238" s="135">
        <v>50</v>
      </c>
      <c r="J238" s="135">
        <v>0.01</v>
      </c>
      <c r="K238" s="135">
        <v>0</v>
      </c>
      <c r="L238" s="135">
        <v>0</v>
      </c>
      <c r="M238" s="135">
        <v>0</v>
      </c>
    </row>
    <row r="239" spans="1:14">
      <c r="A239" s="135">
        <v>199</v>
      </c>
      <c r="B239" s="135" t="s">
        <v>230</v>
      </c>
      <c r="C239" s="135" t="s">
        <v>20</v>
      </c>
      <c r="D239" s="142">
        <v>0</v>
      </c>
      <c r="E239" s="142">
        <v>238</v>
      </c>
      <c r="F239" s="142">
        <v>2</v>
      </c>
      <c r="G239" s="142">
        <v>1813</v>
      </c>
      <c r="H239" s="135">
        <v>-100</v>
      </c>
      <c r="I239" s="135">
        <v>-99.89</v>
      </c>
      <c r="J239" s="135">
        <v>0</v>
      </c>
      <c r="K239" s="135">
        <v>0</v>
      </c>
      <c r="L239" s="135">
        <v>1.96</v>
      </c>
      <c r="M239" s="135">
        <v>1.72</v>
      </c>
    </row>
    <row r="240" spans="1:14" hidden="1">
      <c r="A240" s="135">
        <v>200</v>
      </c>
      <c r="B240" s="135" t="s">
        <v>670</v>
      </c>
      <c r="C240" s="135" t="s">
        <v>19</v>
      </c>
      <c r="D240" s="142">
        <v>0</v>
      </c>
      <c r="E240" s="142">
        <v>2</v>
      </c>
      <c r="F240" s="142">
        <v>2</v>
      </c>
      <c r="G240" s="142">
        <v>15</v>
      </c>
      <c r="H240" s="135">
        <v>-100</v>
      </c>
      <c r="I240" s="135">
        <v>-86.67</v>
      </c>
      <c r="J240" s="135">
        <v>0</v>
      </c>
      <c r="K240" s="135">
        <v>0</v>
      </c>
      <c r="L240" s="135">
        <v>0.02</v>
      </c>
      <c r="M240" s="135">
        <v>0.01</v>
      </c>
    </row>
    <row r="241" spans="1:13" hidden="1">
      <c r="A241" s="135">
        <v>201</v>
      </c>
      <c r="B241" s="135" t="s">
        <v>551</v>
      </c>
      <c r="C241" s="135" t="s">
        <v>19</v>
      </c>
      <c r="D241" s="142">
        <v>0</v>
      </c>
      <c r="E241" s="142">
        <v>1</v>
      </c>
      <c r="F241" s="142">
        <v>2</v>
      </c>
      <c r="G241" s="142">
        <v>5</v>
      </c>
      <c r="H241" s="135">
        <v>-100</v>
      </c>
      <c r="I241" s="135">
        <v>-60</v>
      </c>
      <c r="J241" s="135">
        <v>0</v>
      </c>
      <c r="K241" s="135">
        <v>0</v>
      </c>
      <c r="L241" s="135">
        <v>0.01</v>
      </c>
      <c r="M241" s="135">
        <v>0</v>
      </c>
    </row>
    <row r="242" spans="1:13" hidden="1">
      <c r="A242" s="135">
        <v>202</v>
      </c>
      <c r="B242" s="135" t="s">
        <v>486</v>
      </c>
      <c r="C242" s="135" t="s">
        <v>989</v>
      </c>
      <c r="D242" s="142">
        <v>0</v>
      </c>
      <c r="E242" s="142">
        <v>0</v>
      </c>
      <c r="F242" s="142">
        <v>2</v>
      </c>
      <c r="G242" s="142">
        <v>2</v>
      </c>
      <c r="H242" s="135">
        <v>0</v>
      </c>
      <c r="I242" s="135">
        <v>0</v>
      </c>
      <c r="J242" s="135">
        <v>0</v>
      </c>
      <c r="K242" s="135">
        <v>0</v>
      </c>
      <c r="L242" s="135">
        <v>0</v>
      </c>
      <c r="M242" s="135">
        <v>0</v>
      </c>
    </row>
    <row r="243" spans="1:13">
      <c r="A243" s="135">
        <v>203</v>
      </c>
      <c r="B243" s="135" t="s">
        <v>1158</v>
      </c>
      <c r="C243" s="135" t="s">
        <v>20</v>
      </c>
      <c r="D243" s="142">
        <v>0</v>
      </c>
      <c r="E243" s="142">
        <v>0</v>
      </c>
      <c r="F243" s="142">
        <v>2</v>
      </c>
      <c r="G243" s="142">
        <v>1</v>
      </c>
      <c r="H243" s="135">
        <v>0</v>
      </c>
      <c r="I243" s="135">
        <v>100</v>
      </c>
      <c r="J243" s="135">
        <v>0</v>
      </c>
      <c r="K243" s="135">
        <v>0</v>
      </c>
      <c r="L243" s="135">
        <v>0</v>
      </c>
      <c r="M243" s="135">
        <v>0</v>
      </c>
    </row>
    <row r="244" spans="1:13">
      <c r="A244" s="135">
        <v>204</v>
      </c>
      <c r="B244" s="135" t="s">
        <v>1270</v>
      </c>
      <c r="C244" s="135" t="s">
        <v>20</v>
      </c>
      <c r="D244" s="142">
        <v>2</v>
      </c>
      <c r="E244" s="142">
        <v>0</v>
      </c>
      <c r="F244" s="142">
        <v>2</v>
      </c>
      <c r="G244" s="142">
        <v>0</v>
      </c>
      <c r="H244" s="135">
        <v>0</v>
      </c>
      <c r="I244" s="135">
        <v>0</v>
      </c>
      <c r="J244" s="135">
        <v>0.01</v>
      </c>
      <c r="K244" s="135">
        <v>0</v>
      </c>
      <c r="L244" s="135">
        <v>0</v>
      </c>
      <c r="M244" s="135">
        <v>0</v>
      </c>
    </row>
    <row r="245" spans="1:13">
      <c r="A245" s="135">
        <v>205</v>
      </c>
      <c r="B245" s="135" t="s">
        <v>1150</v>
      </c>
      <c r="C245" s="135" t="s">
        <v>20</v>
      </c>
      <c r="D245" s="142">
        <v>0</v>
      </c>
      <c r="E245" s="142">
        <v>0</v>
      </c>
      <c r="F245" s="142">
        <v>2</v>
      </c>
      <c r="G245" s="142">
        <v>0</v>
      </c>
      <c r="H245" s="135">
        <v>0</v>
      </c>
      <c r="I245" s="135">
        <v>0</v>
      </c>
      <c r="J245" s="135">
        <v>0</v>
      </c>
      <c r="K245" s="135">
        <v>0</v>
      </c>
      <c r="L245" s="135">
        <v>0</v>
      </c>
      <c r="M245" s="135">
        <v>0</v>
      </c>
    </row>
    <row r="246" spans="1:13">
      <c r="A246" s="135">
        <v>206</v>
      </c>
      <c r="B246" s="135" t="s">
        <v>1267</v>
      </c>
      <c r="C246" s="135" t="s">
        <v>20</v>
      </c>
      <c r="D246" s="142">
        <v>2</v>
      </c>
      <c r="E246" s="142">
        <v>0</v>
      </c>
      <c r="F246" s="142">
        <v>2</v>
      </c>
      <c r="G246" s="142">
        <v>0</v>
      </c>
      <c r="H246" s="135">
        <v>0</v>
      </c>
      <c r="I246" s="135">
        <v>0</v>
      </c>
      <c r="J246" s="135">
        <v>0.01</v>
      </c>
      <c r="K246" s="135">
        <v>0</v>
      </c>
      <c r="L246" s="135">
        <v>0</v>
      </c>
      <c r="M246" s="135">
        <v>0</v>
      </c>
    </row>
    <row r="247" spans="1:13" hidden="1">
      <c r="A247" s="135">
        <v>207</v>
      </c>
      <c r="B247" s="135" t="s">
        <v>1188</v>
      </c>
      <c r="C247" s="135" t="s">
        <v>19</v>
      </c>
      <c r="D247" s="142">
        <v>0</v>
      </c>
      <c r="E247" s="142">
        <v>0</v>
      </c>
      <c r="F247" s="142">
        <v>2</v>
      </c>
      <c r="G247" s="142">
        <v>0</v>
      </c>
      <c r="H247" s="135">
        <v>0</v>
      </c>
      <c r="I247" s="135">
        <v>0</v>
      </c>
      <c r="J247" s="135">
        <v>0</v>
      </c>
      <c r="K247" s="135">
        <v>0</v>
      </c>
      <c r="L247" s="135">
        <v>0</v>
      </c>
      <c r="M247" s="135">
        <v>0</v>
      </c>
    </row>
    <row r="248" spans="1:13">
      <c r="A248" s="135">
        <v>208</v>
      </c>
      <c r="B248" s="135" t="s">
        <v>1271</v>
      </c>
      <c r="C248" s="135" t="s">
        <v>20</v>
      </c>
      <c r="D248" s="142">
        <v>2</v>
      </c>
      <c r="E248" s="142">
        <v>0</v>
      </c>
      <c r="F248" s="142">
        <v>2</v>
      </c>
      <c r="G248" s="142">
        <v>0</v>
      </c>
      <c r="H248" s="135">
        <v>0</v>
      </c>
      <c r="I248" s="135">
        <v>0</v>
      </c>
      <c r="J248" s="135">
        <v>0.01</v>
      </c>
      <c r="K248" s="135">
        <v>0</v>
      </c>
      <c r="L248" s="135">
        <v>0</v>
      </c>
      <c r="M248" s="135">
        <v>0</v>
      </c>
    </row>
    <row r="249" spans="1:13" hidden="1">
      <c r="A249" s="135">
        <v>209</v>
      </c>
      <c r="B249" s="135" t="s">
        <v>1272</v>
      </c>
      <c r="C249" s="135" t="s">
        <v>19</v>
      </c>
      <c r="D249" s="142">
        <v>2</v>
      </c>
      <c r="E249" s="142">
        <v>0</v>
      </c>
      <c r="F249" s="142">
        <v>2</v>
      </c>
      <c r="G249" s="142">
        <v>0</v>
      </c>
      <c r="H249" s="135">
        <v>0</v>
      </c>
      <c r="I249" s="135">
        <v>0</v>
      </c>
      <c r="J249" s="135">
        <v>0.01</v>
      </c>
      <c r="K249" s="135">
        <v>0</v>
      </c>
      <c r="L249" s="135">
        <v>0</v>
      </c>
      <c r="M249" s="135">
        <v>0</v>
      </c>
    </row>
    <row r="250" spans="1:13" hidden="1">
      <c r="A250" s="135">
        <v>210</v>
      </c>
      <c r="B250" s="135" t="s">
        <v>420</v>
      </c>
      <c r="C250" s="135" t="s">
        <v>19</v>
      </c>
      <c r="D250" s="142">
        <v>0</v>
      </c>
      <c r="E250" s="142">
        <v>16</v>
      </c>
      <c r="F250" s="142">
        <v>1</v>
      </c>
      <c r="G250" s="142">
        <v>206</v>
      </c>
      <c r="H250" s="135">
        <v>-100</v>
      </c>
      <c r="I250" s="135">
        <v>-99.51</v>
      </c>
      <c r="J250" s="135">
        <v>0</v>
      </c>
      <c r="K250" s="135">
        <v>0</v>
      </c>
      <c r="L250" s="135">
        <v>0.13</v>
      </c>
      <c r="M250" s="135">
        <v>0.2</v>
      </c>
    </row>
    <row r="251" spans="1:13" hidden="1">
      <c r="A251" s="135">
        <v>211</v>
      </c>
      <c r="B251" s="135" t="s">
        <v>1097</v>
      </c>
      <c r="C251" s="135" t="s">
        <v>19</v>
      </c>
      <c r="D251" s="142">
        <v>0</v>
      </c>
      <c r="E251" s="142">
        <v>3</v>
      </c>
      <c r="F251" s="142">
        <v>1</v>
      </c>
      <c r="G251" s="142">
        <v>78</v>
      </c>
      <c r="H251" s="135">
        <v>-100</v>
      </c>
      <c r="I251" s="135">
        <v>-98.72</v>
      </c>
      <c r="J251" s="135">
        <v>0</v>
      </c>
      <c r="K251" s="135">
        <v>0</v>
      </c>
      <c r="L251" s="135">
        <v>0.02</v>
      </c>
      <c r="M251" s="135">
        <v>7.0000000000000007E-2</v>
      </c>
    </row>
    <row r="252" spans="1:13" hidden="1">
      <c r="A252" s="135">
        <v>212</v>
      </c>
      <c r="B252" s="135" t="s">
        <v>1100</v>
      </c>
      <c r="C252" s="135" t="s">
        <v>19</v>
      </c>
      <c r="D252" s="142">
        <v>0</v>
      </c>
      <c r="E252" s="142">
        <v>0</v>
      </c>
      <c r="F252" s="142">
        <v>1</v>
      </c>
      <c r="G252" s="142">
        <v>35</v>
      </c>
      <c r="H252" s="135">
        <v>0</v>
      </c>
      <c r="I252" s="135">
        <v>-97.14</v>
      </c>
      <c r="J252" s="135">
        <v>0</v>
      </c>
      <c r="K252" s="135">
        <v>0</v>
      </c>
      <c r="L252" s="135">
        <v>0</v>
      </c>
      <c r="M252" s="135">
        <v>0.03</v>
      </c>
    </row>
    <row r="253" spans="1:13" hidden="1">
      <c r="A253" s="135">
        <v>213</v>
      </c>
      <c r="B253" s="135" t="s">
        <v>170</v>
      </c>
      <c r="C253" s="135" t="s">
        <v>19</v>
      </c>
      <c r="D253" s="142">
        <v>0</v>
      </c>
      <c r="E253" s="142">
        <v>0</v>
      </c>
      <c r="F253" s="142">
        <v>1</v>
      </c>
      <c r="G253" s="142">
        <v>2</v>
      </c>
      <c r="H253" s="135">
        <v>0</v>
      </c>
      <c r="I253" s="135">
        <v>-50</v>
      </c>
      <c r="J253" s="135">
        <v>0</v>
      </c>
      <c r="K253" s="135">
        <v>0</v>
      </c>
      <c r="L253" s="135">
        <v>0</v>
      </c>
      <c r="M253" s="135">
        <v>0</v>
      </c>
    </row>
    <row r="254" spans="1:13" hidden="1">
      <c r="A254" s="135">
        <v>214</v>
      </c>
      <c r="B254" s="135" t="s">
        <v>1135</v>
      </c>
      <c r="C254" s="135" t="s">
        <v>19</v>
      </c>
      <c r="D254" s="142">
        <v>0</v>
      </c>
      <c r="E254" s="142">
        <v>0</v>
      </c>
      <c r="F254" s="142">
        <v>1</v>
      </c>
      <c r="G254" s="142">
        <v>0</v>
      </c>
      <c r="H254" s="135">
        <v>0</v>
      </c>
      <c r="I254" s="135">
        <v>0</v>
      </c>
      <c r="J254" s="135">
        <v>0</v>
      </c>
      <c r="K254" s="135">
        <v>0</v>
      </c>
      <c r="L254" s="135">
        <v>0</v>
      </c>
      <c r="M254" s="135">
        <v>0</v>
      </c>
    </row>
    <row r="255" spans="1:13" hidden="1">
      <c r="A255" s="135">
        <v>215</v>
      </c>
      <c r="B255" s="135" t="s">
        <v>1217</v>
      </c>
      <c r="C255" s="135" t="s">
        <v>19</v>
      </c>
      <c r="D255" s="142">
        <v>0</v>
      </c>
      <c r="E255" s="142">
        <v>0</v>
      </c>
      <c r="F255" s="142">
        <v>1</v>
      </c>
      <c r="G255" s="142">
        <v>0</v>
      </c>
      <c r="H255" s="135">
        <v>0</v>
      </c>
      <c r="I255" s="135">
        <v>0</v>
      </c>
      <c r="J255" s="135">
        <v>0</v>
      </c>
      <c r="K255" s="135">
        <v>0</v>
      </c>
      <c r="L255" s="135">
        <v>0</v>
      </c>
      <c r="M255" s="135">
        <v>0</v>
      </c>
    </row>
    <row r="256" spans="1:13">
      <c r="A256" s="135">
        <v>216</v>
      </c>
      <c r="B256" s="135" t="s">
        <v>559</v>
      </c>
      <c r="C256" s="135" t="s">
        <v>20</v>
      </c>
      <c r="D256" s="142">
        <v>0</v>
      </c>
      <c r="E256" s="142">
        <v>3</v>
      </c>
      <c r="F256" s="142">
        <v>0</v>
      </c>
      <c r="G256" s="142">
        <v>60</v>
      </c>
      <c r="H256" s="135">
        <v>-100</v>
      </c>
      <c r="I256" s="135">
        <v>-100</v>
      </c>
      <c r="J256" s="135">
        <v>0</v>
      </c>
      <c r="K256" s="135">
        <v>0</v>
      </c>
      <c r="L256" s="135">
        <v>0.02</v>
      </c>
      <c r="M256" s="135">
        <v>0.06</v>
      </c>
    </row>
    <row r="257" spans="1:13" hidden="1">
      <c r="A257" s="135">
        <v>217</v>
      </c>
      <c r="B257" s="135" t="s">
        <v>233</v>
      </c>
      <c r="C257" s="135" t="s">
        <v>19</v>
      </c>
      <c r="D257" s="142">
        <v>0</v>
      </c>
      <c r="E257" s="142">
        <v>5</v>
      </c>
      <c r="F257" s="142">
        <v>0</v>
      </c>
      <c r="G257" s="142">
        <v>44</v>
      </c>
      <c r="H257" s="135">
        <v>-100</v>
      </c>
      <c r="I257" s="135">
        <v>-100</v>
      </c>
      <c r="J257" s="135">
        <v>0</v>
      </c>
      <c r="K257" s="135">
        <v>0</v>
      </c>
      <c r="L257" s="135">
        <v>0.04</v>
      </c>
      <c r="M257" s="135">
        <v>0.04</v>
      </c>
    </row>
    <row r="258" spans="1:13" hidden="1">
      <c r="A258" s="135">
        <v>218</v>
      </c>
      <c r="B258" s="135" t="s">
        <v>353</v>
      </c>
      <c r="C258" s="135" t="s">
        <v>19</v>
      </c>
      <c r="D258" s="142">
        <v>0</v>
      </c>
      <c r="E258" s="142">
        <v>0</v>
      </c>
      <c r="F258" s="142">
        <v>0</v>
      </c>
      <c r="G258" s="142">
        <v>18</v>
      </c>
      <c r="H258" s="135">
        <v>0</v>
      </c>
      <c r="I258" s="135">
        <v>-100</v>
      </c>
      <c r="J258" s="135">
        <v>0</v>
      </c>
      <c r="K258" s="135">
        <v>0</v>
      </c>
      <c r="L258" s="135">
        <v>0</v>
      </c>
      <c r="M258" s="135">
        <v>0.02</v>
      </c>
    </row>
    <row r="259" spans="1:13" hidden="1">
      <c r="A259" s="135">
        <v>219</v>
      </c>
      <c r="B259" s="135" t="s">
        <v>349</v>
      </c>
      <c r="C259" s="135" t="s">
        <v>19</v>
      </c>
      <c r="D259" s="142">
        <v>0</v>
      </c>
      <c r="E259" s="142">
        <v>0</v>
      </c>
      <c r="F259" s="142">
        <v>0</v>
      </c>
      <c r="G259" s="142">
        <v>11</v>
      </c>
      <c r="H259" s="135">
        <v>0</v>
      </c>
      <c r="I259" s="135">
        <v>-100</v>
      </c>
      <c r="J259" s="135">
        <v>0</v>
      </c>
      <c r="K259" s="135">
        <v>0</v>
      </c>
      <c r="L259" s="135">
        <v>0</v>
      </c>
      <c r="M259" s="135">
        <v>0.01</v>
      </c>
    </row>
    <row r="260" spans="1:13" hidden="1">
      <c r="A260" s="135">
        <v>220</v>
      </c>
      <c r="B260" s="135" t="s">
        <v>381</v>
      </c>
      <c r="C260" s="135" t="s">
        <v>19</v>
      </c>
      <c r="D260" s="142">
        <v>0</v>
      </c>
      <c r="E260" s="142">
        <v>0</v>
      </c>
      <c r="F260" s="142">
        <v>0</v>
      </c>
      <c r="G260" s="142">
        <v>10</v>
      </c>
      <c r="H260" s="135">
        <v>0</v>
      </c>
      <c r="I260" s="135">
        <v>-100</v>
      </c>
      <c r="J260" s="135">
        <v>0</v>
      </c>
      <c r="K260" s="135">
        <v>0</v>
      </c>
      <c r="L260" s="135">
        <v>0</v>
      </c>
      <c r="M260" s="135">
        <v>0.01</v>
      </c>
    </row>
    <row r="261" spans="1:13" hidden="1">
      <c r="A261" s="135">
        <v>221</v>
      </c>
      <c r="B261" s="135" t="s">
        <v>402</v>
      </c>
      <c r="C261" s="135" t="s">
        <v>1062</v>
      </c>
      <c r="D261" s="142">
        <v>0</v>
      </c>
      <c r="E261" s="142">
        <v>0</v>
      </c>
      <c r="F261" s="142">
        <v>0</v>
      </c>
      <c r="G261" s="142">
        <v>8</v>
      </c>
      <c r="H261" s="135">
        <v>0</v>
      </c>
      <c r="I261" s="135">
        <v>-100</v>
      </c>
      <c r="J261" s="135">
        <v>0</v>
      </c>
      <c r="K261" s="135">
        <v>0</v>
      </c>
      <c r="L261" s="135">
        <v>0</v>
      </c>
      <c r="M261" s="135">
        <v>0.01</v>
      </c>
    </row>
    <row r="262" spans="1:13" hidden="1">
      <c r="A262" s="135">
        <v>222</v>
      </c>
      <c r="B262" s="135" t="s">
        <v>204</v>
      </c>
      <c r="C262" s="135" t="s">
        <v>19</v>
      </c>
      <c r="D262" s="142">
        <v>0</v>
      </c>
      <c r="E262" s="142">
        <v>2</v>
      </c>
      <c r="F262" s="142">
        <v>0</v>
      </c>
      <c r="G262" s="142">
        <v>8</v>
      </c>
      <c r="H262" s="135">
        <v>-100</v>
      </c>
      <c r="I262" s="135">
        <v>-100</v>
      </c>
      <c r="J262" s="135">
        <v>0</v>
      </c>
      <c r="K262" s="135">
        <v>0</v>
      </c>
      <c r="L262" s="135">
        <v>0.02</v>
      </c>
      <c r="M262" s="135">
        <v>0.01</v>
      </c>
    </row>
    <row r="263" spans="1:13">
      <c r="A263" s="135">
        <v>223</v>
      </c>
      <c r="B263" s="135" t="s">
        <v>1152</v>
      </c>
      <c r="C263" s="135" t="s">
        <v>20</v>
      </c>
      <c r="D263" s="142">
        <v>0</v>
      </c>
      <c r="E263" s="142">
        <v>0</v>
      </c>
      <c r="F263" s="142">
        <v>0</v>
      </c>
      <c r="G263" s="142">
        <v>7</v>
      </c>
      <c r="H263" s="135">
        <v>0</v>
      </c>
      <c r="I263" s="135">
        <v>-100</v>
      </c>
      <c r="J263" s="135">
        <v>0</v>
      </c>
      <c r="K263" s="135">
        <v>0</v>
      </c>
      <c r="L263" s="135">
        <v>0</v>
      </c>
      <c r="M263" s="135">
        <v>0.01</v>
      </c>
    </row>
    <row r="264" spans="1:13" hidden="1">
      <c r="A264" s="135">
        <v>224</v>
      </c>
      <c r="B264" s="135" t="s">
        <v>1160</v>
      </c>
      <c r="C264" s="135" t="s">
        <v>19</v>
      </c>
      <c r="D264" s="142">
        <v>0</v>
      </c>
      <c r="E264" s="142">
        <v>0</v>
      </c>
      <c r="F264" s="142">
        <v>0</v>
      </c>
      <c r="G264" s="142">
        <v>6</v>
      </c>
      <c r="H264" s="135">
        <v>0</v>
      </c>
      <c r="I264" s="135">
        <v>-100</v>
      </c>
      <c r="J264" s="135">
        <v>0</v>
      </c>
      <c r="K264" s="135">
        <v>0</v>
      </c>
      <c r="L264" s="135">
        <v>0</v>
      </c>
      <c r="M264" s="135">
        <v>0.01</v>
      </c>
    </row>
    <row r="265" spans="1:13" hidden="1">
      <c r="A265" s="135">
        <v>225</v>
      </c>
      <c r="B265" s="135" t="s">
        <v>1136</v>
      </c>
      <c r="C265" s="135" t="s">
        <v>19</v>
      </c>
      <c r="D265" s="142">
        <v>0</v>
      </c>
      <c r="E265" s="142">
        <v>0</v>
      </c>
      <c r="F265" s="142">
        <v>0</v>
      </c>
      <c r="G265" s="142">
        <v>4</v>
      </c>
      <c r="H265" s="135">
        <v>0</v>
      </c>
      <c r="I265" s="135">
        <v>-100</v>
      </c>
      <c r="J265" s="135">
        <v>0</v>
      </c>
      <c r="K265" s="135">
        <v>0</v>
      </c>
      <c r="L265" s="135">
        <v>0</v>
      </c>
      <c r="M265" s="135">
        <v>0</v>
      </c>
    </row>
    <row r="266" spans="1:13" hidden="1">
      <c r="A266" s="135">
        <v>226</v>
      </c>
      <c r="B266" s="135" t="s">
        <v>1101</v>
      </c>
      <c r="C266" s="135" t="s">
        <v>19</v>
      </c>
      <c r="D266" s="142">
        <v>0</v>
      </c>
      <c r="E266" s="142">
        <v>0</v>
      </c>
      <c r="F266" s="142">
        <v>0</v>
      </c>
      <c r="G266" s="142">
        <v>3</v>
      </c>
      <c r="H266" s="135">
        <v>0</v>
      </c>
      <c r="I266" s="135">
        <v>-100</v>
      </c>
      <c r="J266" s="135">
        <v>0</v>
      </c>
      <c r="K266" s="135">
        <v>0</v>
      </c>
      <c r="L266" s="135">
        <v>0</v>
      </c>
      <c r="M266" s="135">
        <v>0</v>
      </c>
    </row>
    <row r="267" spans="1:13" hidden="1">
      <c r="A267" s="135">
        <v>227</v>
      </c>
      <c r="B267" s="135" t="s">
        <v>1218</v>
      </c>
      <c r="C267" s="135" t="s">
        <v>239</v>
      </c>
      <c r="D267" s="142">
        <v>0</v>
      </c>
      <c r="E267" s="142">
        <v>0</v>
      </c>
      <c r="F267" s="142">
        <v>0</v>
      </c>
      <c r="G267" s="142">
        <v>2</v>
      </c>
      <c r="H267" s="135">
        <v>0</v>
      </c>
      <c r="I267" s="135">
        <v>-100</v>
      </c>
      <c r="J267" s="135">
        <v>0</v>
      </c>
      <c r="K267" s="135">
        <v>0</v>
      </c>
      <c r="L267" s="135">
        <v>0</v>
      </c>
      <c r="M267" s="135">
        <v>0</v>
      </c>
    </row>
    <row r="268" spans="1:13">
      <c r="A268" s="135"/>
      <c r="B268" s="135" t="s">
        <v>454</v>
      </c>
      <c r="C268" s="135"/>
      <c r="D268" s="142">
        <f>SUBTOTAL(109,getAggRechargeModels6[antalPerioden])</f>
        <v>12500</v>
      </c>
      <c r="E268" s="142">
        <f>SUBTOTAL(109,getAggRechargeModels6[antalFGPeriod])</f>
        <v>7777</v>
      </c>
      <c r="F268" s="142">
        <f>SUBTOTAL(109,getAggRechargeModels6[antalÅret])</f>
        <v>81216</v>
      </c>
      <c r="G268" s="142">
        <f>SUBTOTAL(109,getAggRechargeModels6[antalFGAr])</f>
        <v>58022</v>
      </c>
      <c r="H268" s="137">
        <f>IF(getAggRechargeModels6[[#Totals],[antalFGPeriod]] &gt;0,(getAggRechargeModels6[[#Totals],[antalPerioden]] - getAggRechargeModels6[[#Totals],[antalFGPeriod]] ) / getAggRechargeModels6[[#Totals],[antalFGPeriod]] *100,0)</f>
        <v>60.730358750160732</v>
      </c>
      <c r="I268" s="137">
        <f>IF(getAggRechargeModels6[[#Totals],[antalFGAr]] &gt; 0,( getAggRechargeModels6[[#Totals],[antalÅret]] - getAggRechargeModels6[[#Totals],[antalFGAr]] ) / getAggRechargeModels6[[#Totals],[antalFGAr]] * 100,0)</f>
        <v>39.974492433904381</v>
      </c>
      <c r="J268" s="143">
        <f>IF(getAggModelsPB[[#Totals],[antalPerioden]] &gt; 0,getAggRechargeModels6[[#Totals],[antalPerioden]]  / getAggModelsPB[[#Totals],[antalPerioden]] * 100,0)</f>
        <v>44.428647591967305</v>
      </c>
      <c r="K268" s="143">
        <f>IF(getAggModelsPB[[#Totals],[antalÅret]] &gt; 0,getAggRechargeModels6[[#Totals],[antalÅret]]  / getAggModelsPB[[#Totals],[antalÅret]] * 100,0)</f>
        <v>38.679995618400817</v>
      </c>
      <c r="L268" s="143">
        <f>IF(getAggModelsPB[[#Totals],[antalFGPeriod]] &gt; 0,getAggRechargeModels6[[#Totals],[antalFGPeriod]]  / getAggModelsPB[[#Totals],[antalFGPeriod]] * 100,0)</f>
        <v>35.27304063860668</v>
      </c>
      <c r="M268" s="143">
        <f>IF(getAggModelsPB[[#Totals],[antalFGAr]] &gt; 0,getAggRechargeModels6[[#Totals],[antalFGAr]]  / getAggModelsPB[[#Totals],[antalFGAr]] * 100,0)</f>
        <v>28.353205629397966</v>
      </c>
    </row>
    <row r="271" spans="1:13">
      <c r="A271" t="s">
        <v>678</v>
      </c>
      <c r="D271" t="s">
        <v>1327</v>
      </c>
    </row>
  </sheetData>
  <mergeCells count="6">
    <mergeCell ref="H36:M36"/>
    <mergeCell ref="D37:E37"/>
    <mergeCell ref="F37:G37"/>
    <mergeCell ref="H37:I37"/>
    <mergeCell ref="J37:K37"/>
    <mergeCell ref="L37:M37"/>
  </mergeCells>
  <dataValidations count="3">
    <dataValidation allowBlank="1" showInputMessage="1" showErrorMessage="1" prompt="förändring i marknads-andelen ackumulerat från årets början t.o.m den aktuella månaden." sqref="K38 B38" xr:uid="{00000000-0002-0000-0700-000000000000}"/>
    <dataValidation allowBlank="1" showInputMessage="1" showErrorMessage="1" prompt="visar antalet registreringar för den aktuella månaden i år." sqref="D38:G38" xr:uid="{00000000-0002-0000-0700-000001000000}"/>
    <dataValidation allowBlank="1" showInputMessage="1" showErrorMessage="1" prompt="förändring i antalet registreringar ackumulerat från årets början t.o.m den aktuella månaden." sqref="I38" xr:uid="{00000000-0002-0000-0700-000002000000}"/>
  </dataValidations>
  <pageMargins left="0.7" right="0.7" top="0.75" bottom="0.75" header="0.3" footer="0.3"/>
  <pageSetup paperSize="9"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1"/>
  <dimension ref="A2:U272"/>
  <sheetViews>
    <sheetView workbookViewId="0">
      <selection activeCell="O28" sqref="O28"/>
    </sheetView>
  </sheetViews>
  <sheetFormatPr baseColWidth="10" defaultColWidth="8.83203125" defaultRowHeight="15"/>
  <cols>
    <col min="1" max="1" width="3.83203125" customWidth="1"/>
    <col min="2" max="2" width="26.33203125" customWidth="1"/>
    <col min="3" max="3" width="8.83203125" customWidth="1"/>
    <col min="4" max="7" width="9" bestFit="1" customWidth="1"/>
    <col min="8" max="9" width="9.83203125" bestFit="1" customWidth="1"/>
    <col min="10" max="13" width="9" bestFit="1" customWidth="1"/>
  </cols>
  <sheetData>
    <row r="2" spans="15:21" ht="17" thickBot="1">
      <c r="O2" s="66" t="s">
        <v>616</v>
      </c>
      <c r="P2" s="66"/>
      <c r="Q2" s="66"/>
      <c r="R2" s="66"/>
      <c r="S2" s="66"/>
      <c r="T2" s="66"/>
    </row>
    <row r="3" spans="15:21">
      <c r="O3" s="25" t="s">
        <v>615</v>
      </c>
      <c r="P3" s="25"/>
      <c r="Q3" s="25"/>
      <c r="R3" s="25"/>
      <c r="S3" s="25"/>
      <c r="T3" s="25"/>
      <c r="U3" s="25"/>
    </row>
    <row r="4" spans="15:21">
      <c r="O4" s="6"/>
      <c r="P4" s="6"/>
      <c r="Q4" s="16"/>
      <c r="R4" s="16"/>
      <c r="S4" s="16"/>
      <c r="T4" s="16"/>
      <c r="U4" s="25"/>
    </row>
    <row r="5" spans="15:21" ht="16" thickBot="1">
      <c r="O5" s="19" t="s">
        <v>455</v>
      </c>
      <c r="P5" s="19">
        <v>2021</v>
      </c>
      <c r="Q5" s="19">
        <v>2022</v>
      </c>
      <c r="R5" s="19">
        <v>2023</v>
      </c>
      <c r="S5" s="25"/>
      <c r="T5" s="25"/>
      <c r="U5" s="25"/>
    </row>
    <row r="6" spans="15:21">
      <c r="O6" s="16" t="s">
        <v>2</v>
      </c>
      <c r="P6" s="33">
        <v>5787</v>
      </c>
      <c r="Q6" s="33">
        <v>5363</v>
      </c>
      <c r="R6" s="33">
        <v>3424</v>
      </c>
      <c r="S6" s="25"/>
      <c r="T6" s="25"/>
      <c r="U6" s="25"/>
    </row>
    <row r="7" spans="15:21">
      <c r="O7" s="16" t="s">
        <v>3</v>
      </c>
      <c r="P7" s="34">
        <v>6559</v>
      </c>
      <c r="Q7" s="34">
        <v>5495</v>
      </c>
      <c r="R7" s="34">
        <v>3842</v>
      </c>
      <c r="S7" s="25"/>
      <c r="T7" s="25"/>
      <c r="U7" s="25"/>
    </row>
    <row r="8" spans="15:21">
      <c r="O8" s="16" t="s">
        <v>4</v>
      </c>
      <c r="P8" s="34">
        <v>14934</v>
      </c>
      <c r="Q8" s="34">
        <v>6809</v>
      </c>
      <c r="R8" s="34">
        <v>5540</v>
      </c>
      <c r="S8" s="25"/>
      <c r="T8" s="25"/>
      <c r="U8" s="25"/>
    </row>
    <row r="9" spans="15:21">
      <c r="O9" s="16" t="s">
        <v>5</v>
      </c>
      <c r="P9" s="34">
        <v>4563</v>
      </c>
      <c r="Q9" s="34">
        <v>5146</v>
      </c>
      <c r="R9" s="34">
        <v>4549</v>
      </c>
      <c r="S9" s="25"/>
      <c r="T9" s="25"/>
      <c r="U9" s="25"/>
    </row>
    <row r="10" spans="15:21">
      <c r="O10" s="16" t="s">
        <v>6</v>
      </c>
      <c r="P10" s="34">
        <v>5547</v>
      </c>
      <c r="Q10" s="34">
        <v>6138</v>
      </c>
      <c r="R10" s="34">
        <v>5975</v>
      </c>
      <c r="S10" s="25"/>
      <c r="T10" s="25"/>
      <c r="U10" s="25"/>
    </row>
    <row r="11" spans="15:21">
      <c r="O11" s="16" t="s">
        <v>7</v>
      </c>
      <c r="P11" s="34">
        <v>9142</v>
      </c>
      <c r="Q11" s="34">
        <v>6137</v>
      </c>
      <c r="R11" s="34">
        <v>5798</v>
      </c>
      <c r="S11" s="25"/>
      <c r="T11" s="25"/>
      <c r="U11" s="25"/>
    </row>
    <row r="12" spans="15:21">
      <c r="O12" s="16" t="s">
        <v>8</v>
      </c>
      <c r="P12" s="34">
        <v>3777</v>
      </c>
      <c r="Q12" s="34">
        <v>4239</v>
      </c>
      <c r="R12" s="34">
        <v>3882</v>
      </c>
      <c r="S12" s="25"/>
      <c r="T12" s="25"/>
      <c r="U12" s="25"/>
    </row>
    <row r="13" spans="15:21">
      <c r="O13" s="16" t="s">
        <v>9</v>
      </c>
      <c r="P13" s="34">
        <v>4541</v>
      </c>
      <c r="Q13" s="34">
        <v>3649</v>
      </c>
      <c r="R13" s="34">
        <v>4557</v>
      </c>
      <c r="S13" s="25"/>
      <c r="T13" s="25"/>
      <c r="U13" s="25"/>
    </row>
    <row r="14" spans="15:21">
      <c r="O14" s="16" t="s">
        <v>10</v>
      </c>
      <c r="P14" s="34">
        <v>4754</v>
      </c>
      <c r="Q14" s="34">
        <v>4370</v>
      </c>
      <c r="R14" s="34">
        <v>5337</v>
      </c>
      <c r="S14" s="25"/>
      <c r="T14" s="25"/>
      <c r="U14" s="25"/>
    </row>
    <row r="15" spans="15:21">
      <c r="O15" s="16" t="s">
        <v>11</v>
      </c>
      <c r="P15" s="34">
        <v>5583</v>
      </c>
      <c r="Q15" s="34">
        <v>5359</v>
      </c>
      <c r="R15" s="34"/>
      <c r="S15" s="25"/>
      <c r="T15" s="25"/>
      <c r="U15" s="25"/>
    </row>
    <row r="16" spans="15:21">
      <c r="O16" s="16" t="s">
        <v>12</v>
      </c>
      <c r="P16" s="34">
        <v>5962</v>
      </c>
      <c r="Q16" s="34">
        <v>5650</v>
      </c>
      <c r="R16" s="34"/>
      <c r="S16" s="25"/>
      <c r="T16" s="25"/>
      <c r="U16" s="25"/>
    </row>
    <row r="17" spans="15:21" ht="16" thickBot="1">
      <c r="O17" s="26" t="s">
        <v>13</v>
      </c>
      <c r="P17" s="134">
        <v>6692</v>
      </c>
      <c r="Q17" s="134">
        <v>8259</v>
      </c>
      <c r="R17" s="134"/>
      <c r="S17" s="25"/>
      <c r="T17" s="25"/>
      <c r="U17" s="25"/>
    </row>
    <row r="18" spans="15:21">
      <c r="O18" s="6" t="s">
        <v>534</v>
      </c>
      <c r="P18" s="32">
        <f>SUMIF(R6:R17,"&gt;0",P6:P17)</f>
        <v>59604</v>
      </c>
      <c r="Q18" s="32">
        <f>SUMIF(R6:R17,"&gt;0",Q6:Q17)</f>
        <v>47346</v>
      </c>
      <c r="R18" s="32">
        <f>SUM(R6:R17)</f>
        <v>42904</v>
      </c>
      <c r="S18" s="25"/>
      <c r="T18" s="25"/>
      <c r="U18" s="25"/>
    </row>
    <row r="19" spans="15:21">
      <c r="O19" s="6" t="s">
        <v>533</v>
      </c>
      <c r="P19" s="29">
        <f>SUM(P6:P17)</f>
        <v>77841</v>
      </c>
      <c r="Q19" s="29">
        <f>SUM(Q6:Q17)</f>
        <v>66614</v>
      </c>
      <c r="R19" s="25"/>
      <c r="S19" s="25"/>
      <c r="T19" s="25"/>
      <c r="U19" s="25"/>
    </row>
    <row r="22" spans="15:21">
      <c r="O22" t="s">
        <v>1327</v>
      </c>
    </row>
    <row r="35" spans="1:15" ht="21" thickBot="1">
      <c r="A35" s="66" t="s">
        <v>662</v>
      </c>
      <c r="B35" s="66"/>
      <c r="C35" s="9"/>
      <c r="F35" s="275" t="s">
        <v>1329</v>
      </c>
    </row>
    <row r="36" spans="1:15" ht="20">
      <c r="A36" s="9"/>
    </row>
    <row r="37" spans="1:15">
      <c r="A37" s="7" t="s">
        <v>451</v>
      </c>
      <c r="B37" s="55"/>
      <c r="C37" s="55"/>
      <c r="D37" s="55"/>
      <c r="E37" s="55"/>
      <c r="F37" s="55"/>
      <c r="G37" s="55"/>
      <c r="H37" s="258" t="s">
        <v>452</v>
      </c>
      <c r="I37" s="258"/>
      <c r="J37" s="258"/>
      <c r="K37" s="258"/>
      <c r="L37" s="258"/>
      <c r="M37" s="258"/>
      <c r="N37" s="55"/>
      <c r="O37" s="55"/>
    </row>
    <row r="38" spans="1:15">
      <c r="A38" s="103"/>
      <c r="B38" s="114"/>
      <c r="C38" s="114"/>
      <c r="D38" s="259" t="s">
        <v>535</v>
      </c>
      <c r="E38" s="260"/>
      <c r="F38" s="261" t="s">
        <v>535</v>
      </c>
      <c r="G38" s="262"/>
      <c r="H38" s="261" t="s">
        <v>536</v>
      </c>
      <c r="I38" s="262"/>
      <c r="J38" s="261" t="s">
        <v>537</v>
      </c>
      <c r="K38" s="262"/>
      <c r="L38" s="261" t="s">
        <v>537</v>
      </c>
      <c r="M38" s="262"/>
      <c r="N38" s="55"/>
      <c r="O38" s="55"/>
    </row>
    <row r="39" spans="1:15">
      <c r="A39" s="103"/>
      <c r="B39" s="115" t="s">
        <v>453</v>
      </c>
      <c r="C39" s="116" t="s">
        <v>539</v>
      </c>
      <c r="D39" s="117" t="str">
        <f>Innehåll!D79</f>
        <v xml:space="preserve"> 2023-09</v>
      </c>
      <c r="E39" s="117" t="str">
        <f>Innehåll!D80</f>
        <v xml:space="preserve"> 2022-09</v>
      </c>
      <c r="F39" s="117" t="str">
        <f>Innehåll!D81</f>
        <v>YTD  2023</v>
      </c>
      <c r="G39" s="117" t="str">
        <f>Innehåll!D82</f>
        <v>YTD  2022</v>
      </c>
      <c r="H39" s="117" t="str">
        <f>D39</f>
        <v xml:space="preserve"> 2023-09</v>
      </c>
      <c r="I39" s="118" t="str">
        <f>F39</f>
        <v>YTD  2023</v>
      </c>
      <c r="J39" s="117" t="str">
        <f>D39</f>
        <v xml:space="preserve"> 2023-09</v>
      </c>
      <c r="K39" s="119" t="str">
        <f>F39</f>
        <v>YTD  2023</v>
      </c>
      <c r="L39" s="120" t="str">
        <f>E39</f>
        <v xml:space="preserve"> 2022-09</v>
      </c>
      <c r="M39" s="120" t="str">
        <f>G39</f>
        <v>YTD  2022</v>
      </c>
      <c r="N39" s="55"/>
      <c r="O39" s="55"/>
    </row>
    <row r="40" spans="1:15" ht="15" hidden="1" customHeight="1">
      <c r="A40" s="55" t="s">
        <v>24</v>
      </c>
      <c r="B40" s="55" t="s">
        <v>225</v>
      </c>
      <c r="C40" s="55" t="s">
        <v>226</v>
      </c>
      <c r="D40" s="55" t="s">
        <v>26</v>
      </c>
      <c r="E40" s="55" t="s">
        <v>27</v>
      </c>
      <c r="F40" s="55" t="s">
        <v>28</v>
      </c>
      <c r="G40" s="55" t="s">
        <v>29</v>
      </c>
      <c r="H40" s="55" t="s">
        <v>30</v>
      </c>
      <c r="I40" s="55" t="s">
        <v>31</v>
      </c>
      <c r="J40" s="55" t="s">
        <v>32</v>
      </c>
      <c r="K40" s="55" t="s">
        <v>33</v>
      </c>
      <c r="L40" s="55" t="s">
        <v>34</v>
      </c>
      <c r="M40" s="55" t="s">
        <v>35</v>
      </c>
      <c r="N40" s="55"/>
      <c r="O40" s="55"/>
    </row>
    <row r="41" spans="1:15" hidden="1">
      <c r="A41" s="55">
        <v>1</v>
      </c>
      <c r="B41" s="55" t="s">
        <v>600</v>
      </c>
      <c r="C41" s="55" t="s">
        <v>20</v>
      </c>
      <c r="D41" s="22">
        <v>3050</v>
      </c>
      <c r="E41" s="22">
        <v>431</v>
      </c>
      <c r="F41" s="22">
        <v>13457</v>
      </c>
      <c r="G41" s="22">
        <v>4891</v>
      </c>
      <c r="H41" s="55">
        <v>607.66</v>
      </c>
      <c r="I41" s="55">
        <v>175.14</v>
      </c>
      <c r="J41" s="55">
        <v>17.100000000000001</v>
      </c>
      <c r="K41" s="55">
        <v>10.84</v>
      </c>
      <c r="L41" s="55">
        <v>3.55</v>
      </c>
      <c r="M41" s="55">
        <v>4.6399999999999997</v>
      </c>
      <c r="N41" s="55"/>
      <c r="O41" s="55"/>
    </row>
    <row r="42" spans="1:15" hidden="1">
      <c r="A42" s="55">
        <v>2</v>
      </c>
      <c r="B42" s="55" t="s">
        <v>478</v>
      </c>
      <c r="C42" s="55" t="s">
        <v>20</v>
      </c>
      <c r="D42" s="22">
        <v>1229</v>
      </c>
      <c r="E42" s="22">
        <v>595</v>
      </c>
      <c r="F42" s="22">
        <v>7755</v>
      </c>
      <c r="G42" s="22">
        <v>5624</v>
      </c>
      <c r="H42" s="55">
        <v>106.55</v>
      </c>
      <c r="I42" s="55">
        <v>37.89</v>
      </c>
      <c r="J42" s="55">
        <v>6.89</v>
      </c>
      <c r="K42" s="55">
        <v>6.25</v>
      </c>
      <c r="L42" s="55">
        <v>4.9000000000000004</v>
      </c>
      <c r="M42" s="55">
        <v>5.34</v>
      </c>
      <c r="N42" s="55"/>
      <c r="O42" s="55"/>
    </row>
    <row r="43" spans="1:15" hidden="1">
      <c r="A43" s="55">
        <v>3</v>
      </c>
      <c r="B43" s="55" t="s">
        <v>422</v>
      </c>
      <c r="C43" s="55" t="s">
        <v>20</v>
      </c>
      <c r="D43" s="22">
        <v>896</v>
      </c>
      <c r="E43" s="22">
        <v>566</v>
      </c>
      <c r="F43" s="22">
        <v>6456</v>
      </c>
      <c r="G43" s="22">
        <v>2872</v>
      </c>
      <c r="H43" s="55">
        <v>58.3</v>
      </c>
      <c r="I43" s="55">
        <v>124.79</v>
      </c>
      <c r="J43" s="55">
        <v>5.0199999999999996</v>
      </c>
      <c r="K43" s="55">
        <v>5.2</v>
      </c>
      <c r="L43" s="55">
        <v>4.66</v>
      </c>
      <c r="M43" s="55">
        <v>2.73</v>
      </c>
      <c r="N43" s="55"/>
      <c r="O43" s="55"/>
    </row>
    <row r="44" spans="1:15">
      <c r="A44" s="55">
        <v>4</v>
      </c>
      <c r="B44" s="55" t="s">
        <v>392</v>
      </c>
      <c r="C44" s="55" t="s">
        <v>19</v>
      </c>
      <c r="D44" s="22">
        <v>609</v>
      </c>
      <c r="E44" s="22">
        <v>358</v>
      </c>
      <c r="F44" s="22">
        <v>6221</v>
      </c>
      <c r="G44" s="22">
        <v>4104</v>
      </c>
      <c r="H44" s="55">
        <v>70.11</v>
      </c>
      <c r="I44" s="55">
        <v>51.58</v>
      </c>
      <c r="J44" s="55">
        <v>3.41</v>
      </c>
      <c r="K44" s="55">
        <v>5.01</v>
      </c>
      <c r="L44" s="55">
        <v>2.95</v>
      </c>
      <c r="M44" s="55">
        <v>3.89</v>
      </c>
      <c r="N44" s="55"/>
      <c r="O44" s="55"/>
    </row>
    <row r="45" spans="1:15" hidden="1">
      <c r="A45" s="55">
        <v>5</v>
      </c>
      <c r="B45" s="55" t="s">
        <v>628</v>
      </c>
      <c r="C45" s="55" t="s">
        <v>20</v>
      </c>
      <c r="D45" s="22">
        <v>291</v>
      </c>
      <c r="E45" s="22">
        <v>295</v>
      </c>
      <c r="F45" s="22">
        <v>3549</v>
      </c>
      <c r="G45" s="22">
        <v>2713</v>
      </c>
      <c r="H45" s="55">
        <v>-1.36</v>
      </c>
      <c r="I45" s="55">
        <v>30.81</v>
      </c>
      <c r="J45" s="55">
        <v>1.63</v>
      </c>
      <c r="K45" s="55">
        <v>2.86</v>
      </c>
      <c r="L45" s="55">
        <v>2.4300000000000002</v>
      </c>
      <c r="M45" s="55">
        <v>2.57</v>
      </c>
      <c r="N45" s="55"/>
      <c r="O45" s="55"/>
    </row>
    <row r="46" spans="1:15" hidden="1">
      <c r="A46" s="55">
        <v>6</v>
      </c>
      <c r="B46" s="55" t="s">
        <v>567</v>
      </c>
      <c r="C46" s="55" t="s">
        <v>20</v>
      </c>
      <c r="D46" s="22">
        <v>632</v>
      </c>
      <c r="E46" s="22">
        <v>491</v>
      </c>
      <c r="F46" s="22">
        <v>3442</v>
      </c>
      <c r="G46" s="22">
        <v>2886</v>
      </c>
      <c r="H46" s="55">
        <v>28.72</v>
      </c>
      <c r="I46" s="55">
        <v>19.27</v>
      </c>
      <c r="J46" s="55">
        <v>3.54</v>
      </c>
      <c r="K46" s="55">
        <v>2.77</v>
      </c>
      <c r="L46" s="55">
        <v>4.04</v>
      </c>
      <c r="M46" s="55">
        <v>2.74</v>
      </c>
      <c r="N46" s="55"/>
      <c r="O46" s="55"/>
    </row>
    <row r="47" spans="1:15">
      <c r="A47" s="55">
        <v>7</v>
      </c>
      <c r="B47" s="55" t="s">
        <v>687</v>
      </c>
      <c r="C47" s="55" t="s">
        <v>19</v>
      </c>
      <c r="D47" s="22">
        <v>408</v>
      </c>
      <c r="E47" s="22">
        <v>388</v>
      </c>
      <c r="F47" s="22">
        <v>3049</v>
      </c>
      <c r="G47" s="22">
        <v>2506</v>
      </c>
      <c r="H47" s="55">
        <v>5.15</v>
      </c>
      <c r="I47" s="55">
        <v>21.67</v>
      </c>
      <c r="J47" s="55">
        <v>2.29</v>
      </c>
      <c r="K47" s="55">
        <v>2.46</v>
      </c>
      <c r="L47" s="55">
        <v>3.19</v>
      </c>
      <c r="M47" s="55">
        <v>2.38</v>
      </c>
      <c r="N47" s="55"/>
      <c r="O47" s="55"/>
    </row>
    <row r="48" spans="1:15" hidden="1">
      <c r="A48" s="55">
        <v>8</v>
      </c>
      <c r="B48" s="55" t="s">
        <v>229</v>
      </c>
      <c r="C48" s="55" t="s">
        <v>20</v>
      </c>
      <c r="D48" s="22">
        <v>331</v>
      </c>
      <c r="E48" s="22">
        <v>555</v>
      </c>
      <c r="F48" s="22">
        <v>2746</v>
      </c>
      <c r="G48" s="22">
        <v>5114</v>
      </c>
      <c r="H48" s="55">
        <v>-40.36</v>
      </c>
      <c r="I48" s="55">
        <v>-46.3</v>
      </c>
      <c r="J48" s="55">
        <v>1.86</v>
      </c>
      <c r="K48" s="55">
        <v>2.21</v>
      </c>
      <c r="L48" s="55">
        <v>4.57</v>
      </c>
      <c r="M48" s="55">
        <v>4.8499999999999996</v>
      </c>
      <c r="N48" s="55"/>
      <c r="O48" s="55"/>
    </row>
    <row r="49" spans="1:15">
      <c r="A49" s="55">
        <v>9</v>
      </c>
      <c r="B49" s="55" t="s">
        <v>372</v>
      </c>
      <c r="C49" s="55" t="s">
        <v>19</v>
      </c>
      <c r="D49" s="22">
        <v>355</v>
      </c>
      <c r="E49" s="22">
        <v>365</v>
      </c>
      <c r="F49" s="22">
        <v>2744</v>
      </c>
      <c r="G49" s="22">
        <v>4389</v>
      </c>
      <c r="H49" s="55">
        <v>-2.74</v>
      </c>
      <c r="I49" s="55">
        <v>-37.479999999999997</v>
      </c>
      <c r="J49" s="55">
        <v>1.99</v>
      </c>
      <c r="K49" s="55">
        <v>2.21</v>
      </c>
      <c r="L49" s="55">
        <v>3</v>
      </c>
      <c r="M49" s="55">
        <v>4.17</v>
      </c>
      <c r="N49" s="55"/>
      <c r="O49" s="55"/>
    </row>
    <row r="50" spans="1:15" hidden="1">
      <c r="A50" s="55">
        <v>10</v>
      </c>
      <c r="B50" s="55" t="s">
        <v>403</v>
      </c>
      <c r="C50" s="55" t="s">
        <v>20</v>
      </c>
      <c r="D50" s="22">
        <v>304</v>
      </c>
      <c r="E50" s="22">
        <v>274</v>
      </c>
      <c r="F50" s="22">
        <v>2718</v>
      </c>
      <c r="G50" s="22">
        <v>2809</v>
      </c>
      <c r="H50" s="55">
        <v>10.95</v>
      </c>
      <c r="I50" s="55">
        <v>-3.24</v>
      </c>
      <c r="J50" s="55">
        <v>1.7</v>
      </c>
      <c r="K50" s="55">
        <v>2.19</v>
      </c>
      <c r="L50" s="55">
        <v>2.2599999999999998</v>
      </c>
      <c r="M50" s="55">
        <v>2.67</v>
      </c>
      <c r="N50" s="55"/>
      <c r="O50" s="55"/>
    </row>
    <row r="51" spans="1:15" hidden="1">
      <c r="A51" s="55">
        <v>11</v>
      </c>
      <c r="B51" s="55" t="s">
        <v>592</v>
      </c>
      <c r="C51" s="55" t="s">
        <v>20</v>
      </c>
      <c r="D51" s="22">
        <v>339</v>
      </c>
      <c r="E51" s="22">
        <v>145</v>
      </c>
      <c r="F51" s="22">
        <v>2681</v>
      </c>
      <c r="G51" s="22">
        <v>1387</v>
      </c>
      <c r="H51" s="55">
        <v>133.79</v>
      </c>
      <c r="I51" s="55">
        <v>93.29</v>
      </c>
      <c r="J51" s="55">
        <v>1.9</v>
      </c>
      <c r="K51" s="55">
        <v>2.16</v>
      </c>
      <c r="L51" s="55">
        <v>1.19</v>
      </c>
      <c r="M51" s="55">
        <v>1.32</v>
      </c>
      <c r="N51" s="55"/>
      <c r="O51" s="55"/>
    </row>
    <row r="52" spans="1:15" hidden="1">
      <c r="A52" s="55">
        <v>12</v>
      </c>
      <c r="B52" s="55" t="s">
        <v>636</v>
      </c>
      <c r="C52" s="55" t="s">
        <v>20</v>
      </c>
      <c r="D52" s="22">
        <v>221</v>
      </c>
      <c r="E52" s="22">
        <v>350</v>
      </c>
      <c r="F52" s="22">
        <v>2400</v>
      </c>
      <c r="G52" s="22">
        <v>738</v>
      </c>
      <c r="H52" s="55">
        <v>-36.86</v>
      </c>
      <c r="I52" s="55">
        <v>225.2</v>
      </c>
      <c r="J52" s="55">
        <v>1.24</v>
      </c>
      <c r="K52" s="55">
        <v>1.93</v>
      </c>
      <c r="L52" s="55">
        <v>2.88</v>
      </c>
      <c r="M52" s="55">
        <v>0.7</v>
      </c>
      <c r="N52" s="55"/>
      <c r="O52" s="55"/>
    </row>
    <row r="53" spans="1:15" hidden="1">
      <c r="A53" s="55">
        <v>13</v>
      </c>
      <c r="B53" s="55" t="s">
        <v>1020</v>
      </c>
      <c r="C53" s="55" t="s">
        <v>20</v>
      </c>
      <c r="D53" s="22">
        <v>598</v>
      </c>
      <c r="E53" s="22">
        <v>0</v>
      </c>
      <c r="F53" s="22">
        <v>2317</v>
      </c>
      <c r="G53" s="22">
        <v>0</v>
      </c>
      <c r="H53" s="55">
        <v>0</v>
      </c>
      <c r="I53" s="55">
        <v>0</v>
      </c>
      <c r="J53" s="55">
        <v>3.35</v>
      </c>
      <c r="K53" s="55">
        <v>1.87</v>
      </c>
      <c r="L53" s="55">
        <v>0</v>
      </c>
      <c r="M53" s="55">
        <v>0</v>
      </c>
      <c r="N53" s="55"/>
      <c r="O53" s="55"/>
    </row>
    <row r="54" spans="1:15" hidden="1">
      <c r="A54" s="55">
        <v>14</v>
      </c>
      <c r="B54" s="55" t="s">
        <v>55</v>
      </c>
      <c r="C54" s="55" t="s">
        <v>20</v>
      </c>
      <c r="D54" s="22">
        <v>51</v>
      </c>
      <c r="E54" s="22">
        <v>484</v>
      </c>
      <c r="F54" s="22">
        <v>2067</v>
      </c>
      <c r="G54" s="22">
        <v>2056</v>
      </c>
      <c r="H54" s="55">
        <v>-89.46</v>
      </c>
      <c r="I54" s="55">
        <v>0.54</v>
      </c>
      <c r="J54" s="55">
        <v>0.28999999999999998</v>
      </c>
      <c r="K54" s="55">
        <v>1.67</v>
      </c>
      <c r="L54" s="55">
        <v>3.98</v>
      </c>
      <c r="M54" s="55">
        <v>1.95</v>
      </c>
      <c r="N54" s="55"/>
      <c r="O54" s="55"/>
    </row>
    <row r="55" spans="1:15" hidden="1">
      <c r="A55" s="55">
        <v>15</v>
      </c>
      <c r="B55" s="55" t="s">
        <v>416</v>
      </c>
      <c r="C55" s="55" t="s">
        <v>20</v>
      </c>
      <c r="D55" s="22">
        <v>213</v>
      </c>
      <c r="E55" s="22">
        <v>135</v>
      </c>
      <c r="F55" s="22">
        <v>1989</v>
      </c>
      <c r="G55" s="22">
        <v>1079</v>
      </c>
      <c r="H55" s="55">
        <v>57.78</v>
      </c>
      <c r="I55" s="55">
        <v>84.34</v>
      </c>
      <c r="J55" s="55">
        <v>1.19</v>
      </c>
      <c r="K55" s="55">
        <v>1.6</v>
      </c>
      <c r="L55" s="55">
        <v>1.1100000000000001</v>
      </c>
      <c r="M55" s="55">
        <v>1.02</v>
      </c>
      <c r="N55" s="55"/>
      <c r="O55" s="55"/>
    </row>
    <row r="56" spans="1:15">
      <c r="A56" s="55">
        <v>16</v>
      </c>
      <c r="B56" s="55" t="s">
        <v>393</v>
      </c>
      <c r="C56" s="55" t="s">
        <v>19</v>
      </c>
      <c r="D56" s="22">
        <v>217</v>
      </c>
      <c r="E56" s="22">
        <v>202</v>
      </c>
      <c r="F56" s="22">
        <v>1934</v>
      </c>
      <c r="G56" s="22">
        <v>1418</v>
      </c>
      <c r="H56" s="55">
        <v>7.43</v>
      </c>
      <c r="I56" s="55">
        <v>36.39</v>
      </c>
      <c r="J56" s="55">
        <v>1.22</v>
      </c>
      <c r="K56" s="55">
        <v>1.56</v>
      </c>
      <c r="L56" s="55">
        <v>1.66</v>
      </c>
      <c r="M56" s="55">
        <v>1.35</v>
      </c>
      <c r="N56" s="55"/>
      <c r="O56" s="55"/>
    </row>
    <row r="57" spans="1:15" hidden="1">
      <c r="A57" s="55">
        <v>17</v>
      </c>
      <c r="B57" s="55" t="s">
        <v>1004</v>
      </c>
      <c r="C57" s="55" t="s">
        <v>20</v>
      </c>
      <c r="D57" s="22">
        <v>451</v>
      </c>
      <c r="E57" s="22">
        <v>6</v>
      </c>
      <c r="F57" s="22">
        <v>1882</v>
      </c>
      <c r="G57" s="22">
        <v>6</v>
      </c>
      <c r="H57" s="55">
        <v>7416.67</v>
      </c>
      <c r="I57" s="55">
        <v>31266.67</v>
      </c>
      <c r="J57" s="55">
        <v>2.5299999999999998</v>
      </c>
      <c r="K57" s="55">
        <v>1.52</v>
      </c>
      <c r="L57" s="55">
        <v>0.05</v>
      </c>
      <c r="M57" s="55">
        <v>0.01</v>
      </c>
      <c r="N57" s="55"/>
      <c r="O57" s="55"/>
    </row>
    <row r="58" spans="1:15" hidden="1">
      <c r="A58" s="55">
        <v>18</v>
      </c>
      <c r="B58" s="55" t="s">
        <v>688</v>
      </c>
      <c r="C58" s="55" t="s">
        <v>20</v>
      </c>
      <c r="D58" s="22">
        <v>146</v>
      </c>
      <c r="E58" s="22">
        <v>124</v>
      </c>
      <c r="F58" s="22">
        <v>1706</v>
      </c>
      <c r="G58" s="22">
        <v>488</v>
      </c>
      <c r="H58" s="55">
        <v>17.739999999999998</v>
      </c>
      <c r="I58" s="55">
        <v>249.59</v>
      </c>
      <c r="J58" s="55">
        <v>0.82</v>
      </c>
      <c r="K58" s="55">
        <v>1.37</v>
      </c>
      <c r="L58" s="55">
        <v>1.02</v>
      </c>
      <c r="M58" s="55">
        <v>0.46</v>
      </c>
      <c r="N58" s="55"/>
      <c r="O58" s="55"/>
    </row>
    <row r="59" spans="1:15">
      <c r="A59" s="55">
        <v>19</v>
      </c>
      <c r="B59" s="55" t="s">
        <v>408</v>
      </c>
      <c r="C59" s="55" t="s">
        <v>19</v>
      </c>
      <c r="D59" s="22">
        <v>158</v>
      </c>
      <c r="E59" s="22">
        <v>180</v>
      </c>
      <c r="F59" s="22">
        <v>1656</v>
      </c>
      <c r="G59" s="22">
        <v>2540</v>
      </c>
      <c r="H59" s="55">
        <v>-12.22</v>
      </c>
      <c r="I59" s="55">
        <v>-34.799999999999997</v>
      </c>
      <c r="J59" s="55">
        <v>0.89</v>
      </c>
      <c r="K59" s="55">
        <v>1.33</v>
      </c>
      <c r="L59" s="55">
        <v>1.48</v>
      </c>
      <c r="M59" s="55">
        <v>2.41</v>
      </c>
      <c r="N59" s="55"/>
      <c r="O59" s="55"/>
    </row>
    <row r="60" spans="1:15">
      <c r="A60" s="55">
        <v>20</v>
      </c>
      <c r="B60" s="55" t="s">
        <v>423</v>
      </c>
      <c r="C60" s="55" t="s">
        <v>19</v>
      </c>
      <c r="D60" s="22">
        <v>260</v>
      </c>
      <c r="E60" s="22">
        <v>85</v>
      </c>
      <c r="F60" s="22">
        <v>1633</v>
      </c>
      <c r="G60" s="22">
        <v>1312</v>
      </c>
      <c r="H60" s="55">
        <v>205.88</v>
      </c>
      <c r="I60" s="55">
        <v>24.47</v>
      </c>
      <c r="J60" s="55">
        <v>1.46</v>
      </c>
      <c r="K60" s="55">
        <v>1.32</v>
      </c>
      <c r="L60" s="55">
        <v>0.7</v>
      </c>
      <c r="M60" s="55">
        <v>1.25</v>
      </c>
      <c r="N60" s="55"/>
      <c r="O60" s="55"/>
    </row>
    <row r="61" spans="1:15" hidden="1">
      <c r="A61" s="55">
        <v>21</v>
      </c>
      <c r="B61" s="55" t="s">
        <v>692</v>
      </c>
      <c r="C61" s="55" t="s">
        <v>20</v>
      </c>
      <c r="D61" s="22">
        <v>211</v>
      </c>
      <c r="E61" s="22">
        <v>147</v>
      </c>
      <c r="F61" s="22">
        <v>1587</v>
      </c>
      <c r="G61" s="22">
        <v>787</v>
      </c>
      <c r="H61" s="55">
        <v>43.54</v>
      </c>
      <c r="I61" s="55">
        <v>101.65</v>
      </c>
      <c r="J61" s="55">
        <v>1.18</v>
      </c>
      <c r="K61" s="55">
        <v>1.28</v>
      </c>
      <c r="L61" s="55">
        <v>1.21</v>
      </c>
      <c r="M61" s="55">
        <v>0.75</v>
      </c>
      <c r="N61" s="55"/>
      <c r="O61" s="55"/>
    </row>
    <row r="62" spans="1:15" hidden="1">
      <c r="A62" s="55">
        <v>22</v>
      </c>
      <c r="B62" s="55" t="s">
        <v>694</v>
      </c>
      <c r="C62" s="55" t="s">
        <v>20</v>
      </c>
      <c r="D62" s="22">
        <v>208</v>
      </c>
      <c r="E62" s="22">
        <v>198</v>
      </c>
      <c r="F62" s="22">
        <v>1344</v>
      </c>
      <c r="G62" s="22">
        <v>667</v>
      </c>
      <c r="H62" s="55">
        <v>5.05</v>
      </c>
      <c r="I62" s="55">
        <v>101.5</v>
      </c>
      <c r="J62" s="55">
        <v>1.17</v>
      </c>
      <c r="K62" s="55">
        <v>1.08</v>
      </c>
      <c r="L62" s="55">
        <v>1.63</v>
      </c>
      <c r="M62" s="55">
        <v>0.63</v>
      </c>
      <c r="N62" s="55"/>
      <c r="O62" s="55"/>
    </row>
    <row r="63" spans="1:15">
      <c r="A63" s="55">
        <v>23</v>
      </c>
      <c r="B63" s="55" t="s">
        <v>376</v>
      </c>
      <c r="C63" s="55" t="s">
        <v>19</v>
      </c>
      <c r="D63" s="22">
        <v>150</v>
      </c>
      <c r="E63" s="22">
        <v>132</v>
      </c>
      <c r="F63" s="22">
        <v>1330</v>
      </c>
      <c r="G63" s="22">
        <v>3001</v>
      </c>
      <c r="H63" s="55">
        <v>13.64</v>
      </c>
      <c r="I63" s="55">
        <v>-55.68</v>
      </c>
      <c r="J63" s="55">
        <v>0.84</v>
      </c>
      <c r="K63" s="55">
        <v>1.07</v>
      </c>
      <c r="L63" s="55">
        <v>1.0900000000000001</v>
      </c>
      <c r="M63" s="55">
        <v>2.85</v>
      </c>
      <c r="N63" s="55"/>
      <c r="O63" s="55"/>
    </row>
    <row r="64" spans="1:15" hidden="1">
      <c r="A64" s="55">
        <v>24</v>
      </c>
      <c r="B64" s="55" t="s">
        <v>94</v>
      </c>
      <c r="C64" s="55" t="s">
        <v>20</v>
      </c>
      <c r="D64" s="22">
        <v>209</v>
      </c>
      <c r="E64" s="22">
        <v>285</v>
      </c>
      <c r="F64" s="22">
        <v>1328</v>
      </c>
      <c r="G64" s="22">
        <v>2474</v>
      </c>
      <c r="H64" s="55">
        <v>-26.67</v>
      </c>
      <c r="I64" s="55">
        <v>-46.32</v>
      </c>
      <c r="J64" s="55">
        <v>1.17</v>
      </c>
      <c r="K64" s="55">
        <v>1.07</v>
      </c>
      <c r="L64" s="55">
        <v>2.35</v>
      </c>
      <c r="M64" s="55">
        <v>2.35</v>
      </c>
      <c r="N64" s="55"/>
      <c r="O64" s="55"/>
    </row>
    <row r="65" spans="1:15">
      <c r="A65" s="55">
        <v>25</v>
      </c>
      <c r="B65" s="55" t="s">
        <v>231</v>
      </c>
      <c r="C65" s="55" t="s">
        <v>19</v>
      </c>
      <c r="D65" s="22">
        <v>151</v>
      </c>
      <c r="E65" s="22">
        <v>80</v>
      </c>
      <c r="F65" s="22">
        <v>1302</v>
      </c>
      <c r="G65" s="22">
        <v>864</v>
      </c>
      <c r="H65" s="55">
        <v>88.75</v>
      </c>
      <c r="I65" s="55">
        <v>50.69</v>
      </c>
      <c r="J65" s="55">
        <v>0.85</v>
      </c>
      <c r="K65" s="55">
        <v>1.05</v>
      </c>
      <c r="L65" s="55">
        <v>0.66</v>
      </c>
      <c r="M65" s="55">
        <v>0.82</v>
      </c>
      <c r="N65" s="55"/>
      <c r="O65" s="55"/>
    </row>
    <row r="66" spans="1:15">
      <c r="A66" s="55">
        <v>26</v>
      </c>
      <c r="B66" s="55" t="s">
        <v>572</v>
      </c>
      <c r="C66" s="55" t="s">
        <v>19</v>
      </c>
      <c r="D66" s="22">
        <v>54</v>
      </c>
      <c r="E66" s="22">
        <v>216</v>
      </c>
      <c r="F66" s="22">
        <v>1297</v>
      </c>
      <c r="G66" s="22">
        <v>1478</v>
      </c>
      <c r="H66" s="55">
        <v>-75</v>
      </c>
      <c r="I66" s="55">
        <v>-12.25</v>
      </c>
      <c r="J66" s="55">
        <v>0.3</v>
      </c>
      <c r="K66" s="55">
        <v>1.04</v>
      </c>
      <c r="L66" s="55">
        <v>1.78</v>
      </c>
      <c r="M66" s="55">
        <v>1.4</v>
      </c>
      <c r="N66" s="55"/>
      <c r="O66" s="55"/>
    </row>
    <row r="67" spans="1:15" hidden="1">
      <c r="A67" s="55">
        <v>27</v>
      </c>
      <c r="B67" s="55" t="s">
        <v>136</v>
      </c>
      <c r="C67" s="55" t="s">
        <v>20</v>
      </c>
      <c r="D67" s="22">
        <v>170</v>
      </c>
      <c r="E67" s="22">
        <v>40</v>
      </c>
      <c r="F67" s="22">
        <v>1281</v>
      </c>
      <c r="G67" s="22">
        <v>1306</v>
      </c>
      <c r="H67" s="55">
        <v>325</v>
      </c>
      <c r="I67" s="55">
        <v>-1.91</v>
      </c>
      <c r="J67" s="55">
        <v>0.95</v>
      </c>
      <c r="K67" s="55">
        <v>1.03</v>
      </c>
      <c r="L67" s="55">
        <v>0.33</v>
      </c>
      <c r="M67" s="55">
        <v>1.24</v>
      </c>
      <c r="N67" s="55"/>
      <c r="O67" s="55"/>
    </row>
    <row r="68" spans="1:15">
      <c r="A68" s="55">
        <v>28</v>
      </c>
      <c r="B68" s="55" t="s">
        <v>643</v>
      </c>
      <c r="C68" s="55" t="s">
        <v>19</v>
      </c>
      <c r="D68" s="22">
        <v>236</v>
      </c>
      <c r="E68" s="22">
        <v>100</v>
      </c>
      <c r="F68" s="22">
        <v>1185</v>
      </c>
      <c r="G68" s="22">
        <v>769</v>
      </c>
      <c r="H68" s="55">
        <v>136</v>
      </c>
      <c r="I68" s="55">
        <v>54.1</v>
      </c>
      <c r="J68" s="55">
        <v>1.32</v>
      </c>
      <c r="K68" s="55">
        <v>0.95</v>
      </c>
      <c r="L68" s="55">
        <v>0.82</v>
      </c>
      <c r="M68" s="55">
        <v>0.73</v>
      </c>
      <c r="N68" s="55"/>
      <c r="O68" s="55"/>
    </row>
    <row r="69" spans="1:15" hidden="1">
      <c r="A69" s="55">
        <v>29</v>
      </c>
      <c r="B69" s="55" t="s">
        <v>645</v>
      </c>
      <c r="C69" s="55" t="s">
        <v>20</v>
      </c>
      <c r="D69" s="22">
        <v>152</v>
      </c>
      <c r="E69" s="22">
        <v>59</v>
      </c>
      <c r="F69" s="22">
        <v>1130</v>
      </c>
      <c r="G69" s="22">
        <v>427</v>
      </c>
      <c r="H69" s="55">
        <v>157.63</v>
      </c>
      <c r="I69" s="55">
        <v>164.64</v>
      </c>
      <c r="J69" s="55">
        <v>0.85</v>
      </c>
      <c r="K69" s="55">
        <v>0.91</v>
      </c>
      <c r="L69" s="55">
        <v>0.49</v>
      </c>
      <c r="M69" s="55">
        <v>0.41</v>
      </c>
      <c r="N69" s="55"/>
      <c r="O69" s="55"/>
    </row>
    <row r="70" spans="1:15" hidden="1">
      <c r="A70" s="55">
        <v>30</v>
      </c>
      <c r="B70" s="55" t="s">
        <v>638</v>
      </c>
      <c r="C70" s="55" t="s">
        <v>20</v>
      </c>
      <c r="D70" s="22">
        <v>228</v>
      </c>
      <c r="E70" s="22">
        <v>0</v>
      </c>
      <c r="F70" s="22">
        <v>1116</v>
      </c>
      <c r="G70" s="22">
        <v>0</v>
      </c>
      <c r="H70" s="55">
        <v>0</v>
      </c>
      <c r="I70" s="55">
        <v>0</v>
      </c>
      <c r="J70" s="55">
        <v>1.28</v>
      </c>
      <c r="K70" s="55">
        <v>0.9</v>
      </c>
      <c r="L70" s="55">
        <v>0</v>
      </c>
      <c r="M70" s="55">
        <v>0</v>
      </c>
      <c r="N70" s="55"/>
      <c r="O70" s="55"/>
    </row>
    <row r="71" spans="1:15" hidden="1">
      <c r="A71" s="55">
        <v>31</v>
      </c>
      <c r="B71" s="55" t="s">
        <v>637</v>
      </c>
      <c r="C71" s="55" t="s">
        <v>20</v>
      </c>
      <c r="D71" s="22">
        <v>314</v>
      </c>
      <c r="E71" s="22">
        <v>242</v>
      </c>
      <c r="F71" s="22">
        <v>1109</v>
      </c>
      <c r="G71" s="22">
        <v>1113</v>
      </c>
      <c r="H71" s="55">
        <v>29.75</v>
      </c>
      <c r="I71" s="55">
        <v>-0.36</v>
      </c>
      <c r="J71" s="55">
        <v>1.76</v>
      </c>
      <c r="K71" s="55">
        <v>0.89</v>
      </c>
      <c r="L71" s="55">
        <v>1.99</v>
      </c>
      <c r="M71" s="55">
        <v>1.06</v>
      </c>
      <c r="N71" s="55"/>
      <c r="O71" s="55"/>
    </row>
    <row r="72" spans="1:15" hidden="1">
      <c r="A72" s="55">
        <v>32</v>
      </c>
      <c r="B72" s="55" t="s">
        <v>1023</v>
      </c>
      <c r="C72" s="55" t="s">
        <v>20</v>
      </c>
      <c r="D72" s="22">
        <v>122</v>
      </c>
      <c r="E72" s="22">
        <v>0</v>
      </c>
      <c r="F72" s="22">
        <v>1079</v>
      </c>
      <c r="G72" s="22">
        <v>0</v>
      </c>
      <c r="H72" s="55">
        <v>0</v>
      </c>
      <c r="I72" s="55">
        <v>0</v>
      </c>
      <c r="J72" s="55">
        <v>0.68</v>
      </c>
      <c r="K72" s="55">
        <v>0.87</v>
      </c>
      <c r="L72" s="55">
        <v>0</v>
      </c>
      <c r="M72" s="55">
        <v>0</v>
      </c>
      <c r="N72" s="55"/>
      <c r="O72" s="55"/>
    </row>
    <row r="73" spans="1:15">
      <c r="A73" s="55">
        <v>33</v>
      </c>
      <c r="B73" s="55" t="s">
        <v>227</v>
      </c>
      <c r="C73" s="55" t="s">
        <v>19</v>
      </c>
      <c r="D73" s="22">
        <v>275</v>
      </c>
      <c r="E73" s="22">
        <v>155</v>
      </c>
      <c r="F73" s="22">
        <v>1047</v>
      </c>
      <c r="G73" s="22">
        <v>1439</v>
      </c>
      <c r="H73" s="55">
        <v>77.42</v>
      </c>
      <c r="I73" s="55">
        <v>-27.24</v>
      </c>
      <c r="J73" s="55">
        <v>1.54</v>
      </c>
      <c r="K73" s="55">
        <v>0.84</v>
      </c>
      <c r="L73" s="55">
        <v>1.28</v>
      </c>
      <c r="M73" s="55">
        <v>1.37</v>
      </c>
      <c r="N73" s="55"/>
      <c r="O73" s="55"/>
    </row>
    <row r="74" spans="1:15">
      <c r="A74" s="55">
        <v>34</v>
      </c>
      <c r="B74" s="55" t="s">
        <v>399</v>
      </c>
      <c r="C74" s="55" t="s">
        <v>19</v>
      </c>
      <c r="D74" s="22">
        <v>125</v>
      </c>
      <c r="E74" s="22">
        <v>149</v>
      </c>
      <c r="F74" s="22">
        <v>1046</v>
      </c>
      <c r="G74" s="22">
        <v>1354</v>
      </c>
      <c r="H74" s="55">
        <v>-16.11</v>
      </c>
      <c r="I74" s="55">
        <v>-22.75</v>
      </c>
      <c r="J74" s="55">
        <v>0.7</v>
      </c>
      <c r="K74" s="55">
        <v>0.84</v>
      </c>
      <c r="L74" s="55">
        <v>1.23</v>
      </c>
      <c r="M74" s="55">
        <v>1.28</v>
      </c>
      <c r="N74" s="55"/>
      <c r="O74" s="55"/>
    </row>
    <row r="75" spans="1:15" hidden="1">
      <c r="A75" s="55">
        <v>35</v>
      </c>
      <c r="B75" s="55" t="s">
        <v>1127</v>
      </c>
      <c r="C75" s="55" t="s">
        <v>20</v>
      </c>
      <c r="D75" s="22">
        <v>113</v>
      </c>
      <c r="E75" s="22">
        <v>0</v>
      </c>
      <c r="F75" s="22">
        <v>1007</v>
      </c>
      <c r="G75" s="22">
        <v>95</v>
      </c>
      <c r="H75" s="55">
        <v>0</v>
      </c>
      <c r="I75" s="55">
        <v>960</v>
      </c>
      <c r="J75" s="55">
        <v>0.63</v>
      </c>
      <c r="K75" s="55">
        <v>0.81</v>
      </c>
      <c r="L75" s="55">
        <v>0</v>
      </c>
      <c r="M75" s="55">
        <v>0.09</v>
      </c>
      <c r="N75" s="55"/>
      <c r="O75" s="55"/>
    </row>
    <row r="76" spans="1:15">
      <c r="A76" s="55">
        <v>36</v>
      </c>
      <c r="B76" s="55" t="s">
        <v>980</v>
      </c>
      <c r="C76" s="55" t="s">
        <v>19</v>
      </c>
      <c r="D76" s="22">
        <v>128</v>
      </c>
      <c r="E76" s="22">
        <v>205</v>
      </c>
      <c r="F76" s="22">
        <v>1003</v>
      </c>
      <c r="G76" s="22">
        <v>308</v>
      </c>
      <c r="H76" s="55">
        <v>-37.56</v>
      </c>
      <c r="I76" s="55">
        <v>225.65</v>
      </c>
      <c r="J76" s="55">
        <v>0.72</v>
      </c>
      <c r="K76" s="55">
        <v>0.81</v>
      </c>
      <c r="L76" s="55">
        <v>1.69</v>
      </c>
      <c r="M76" s="55">
        <v>0.28999999999999998</v>
      </c>
      <c r="N76" s="55"/>
      <c r="O76" s="55"/>
    </row>
    <row r="77" spans="1:15">
      <c r="A77" s="55">
        <v>37</v>
      </c>
      <c r="B77" s="55" t="s">
        <v>488</v>
      </c>
      <c r="C77" s="55" t="s">
        <v>19</v>
      </c>
      <c r="D77" s="22">
        <v>167</v>
      </c>
      <c r="E77" s="22">
        <v>44</v>
      </c>
      <c r="F77" s="22">
        <v>1002</v>
      </c>
      <c r="G77" s="22">
        <v>960</v>
      </c>
      <c r="H77" s="55">
        <v>279.55</v>
      </c>
      <c r="I77" s="55">
        <v>4.38</v>
      </c>
      <c r="J77" s="55">
        <v>0.94</v>
      </c>
      <c r="K77" s="55">
        <v>0.81</v>
      </c>
      <c r="L77" s="55">
        <v>0.36</v>
      </c>
      <c r="M77" s="55">
        <v>0.91</v>
      </c>
      <c r="N77" s="55"/>
      <c r="O77" s="55"/>
    </row>
    <row r="78" spans="1:15" hidden="1">
      <c r="A78" s="55">
        <v>38</v>
      </c>
      <c r="B78" s="55" t="s">
        <v>584</v>
      </c>
      <c r="C78" s="55" t="s">
        <v>20</v>
      </c>
      <c r="D78" s="22">
        <v>298</v>
      </c>
      <c r="E78" s="22">
        <v>148</v>
      </c>
      <c r="F78" s="22">
        <v>930</v>
      </c>
      <c r="G78" s="22">
        <v>2222</v>
      </c>
      <c r="H78" s="55">
        <v>101.35</v>
      </c>
      <c r="I78" s="55">
        <v>-58.15</v>
      </c>
      <c r="J78" s="55">
        <v>1.67</v>
      </c>
      <c r="K78" s="55">
        <v>0.75</v>
      </c>
      <c r="L78" s="55">
        <v>1.22</v>
      </c>
      <c r="M78" s="55">
        <v>2.11</v>
      </c>
      <c r="N78" s="55"/>
      <c r="O78" s="55"/>
    </row>
    <row r="79" spans="1:15">
      <c r="A79" s="55">
        <v>39</v>
      </c>
      <c r="B79" s="55" t="s">
        <v>1025</v>
      </c>
      <c r="C79" s="55" t="s">
        <v>19</v>
      </c>
      <c r="D79" s="22">
        <v>182</v>
      </c>
      <c r="E79" s="22">
        <v>0</v>
      </c>
      <c r="F79" s="22">
        <v>883</v>
      </c>
      <c r="G79" s="22">
        <v>0</v>
      </c>
      <c r="H79" s="55">
        <v>0</v>
      </c>
      <c r="I79" s="55">
        <v>0</v>
      </c>
      <c r="J79" s="55">
        <v>1.02</v>
      </c>
      <c r="K79" s="55">
        <v>0.71</v>
      </c>
      <c r="L79" s="55">
        <v>0</v>
      </c>
      <c r="M79" s="55">
        <v>0</v>
      </c>
      <c r="N79" s="55"/>
      <c r="O79" s="55"/>
    </row>
    <row r="80" spans="1:15">
      <c r="A80" s="55">
        <v>40</v>
      </c>
      <c r="B80" s="55" t="s">
        <v>411</v>
      </c>
      <c r="C80" s="55" t="s">
        <v>19</v>
      </c>
      <c r="D80" s="22">
        <v>62</v>
      </c>
      <c r="E80" s="22">
        <v>150</v>
      </c>
      <c r="F80" s="22">
        <v>826</v>
      </c>
      <c r="G80" s="22">
        <v>1226</v>
      </c>
      <c r="H80" s="55">
        <v>-58.67</v>
      </c>
      <c r="I80" s="55">
        <v>-32.630000000000003</v>
      </c>
      <c r="J80" s="55">
        <v>0.35</v>
      </c>
      <c r="K80" s="55">
        <v>0.67</v>
      </c>
      <c r="L80" s="55">
        <v>1.23</v>
      </c>
      <c r="M80" s="55">
        <v>1.1599999999999999</v>
      </c>
      <c r="N80" s="55"/>
      <c r="O80" s="55"/>
    </row>
    <row r="81" spans="1:15">
      <c r="A81" s="55">
        <v>41</v>
      </c>
      <c r="B81" s="55" t="s">
        <v>380</v>
      </c>
      <c r="C81" s="55" t="s">
        <v>19</v>
      </c>
      <c r="D81" s="22">
        <v>67</v>
      </c>
      <c r="E81" s="22">
        <v>103</v>
      </c>
      <c r="F81" s="22">
        <v>760</v>
      </c>
      <c r="G81" s="22">
        <v>1866</v>
      </c>
      <c r="H81" s="55">
        <v>-34.950000000000003</v>
      </c>
      <c r="I81" s="55">
        <v>-59.27</v>
      </c>
      <c r="J81" s="55">
        <v>0.38</v>
      </c>
      <c r="K81" s="55">
        <v>0.61</v>
      </c>
      <c r="L81" s="55">
        <v>0.85</v>
      </c>
      <c r="M81" s="55">
        <v>1.77</v>
      </c>
      <c r="N81" s="55"/>
      <c r="O81" s="55"/>
    </row>
    <row r="82" spans="1:15" hidden="1">
      <c r="A82" s="55">
        <v>42</v>
      </c>
      <c r="B82" s="55" t="s">
        <v>697</v>
      </c>
      <c r="C82" s="55" t="s">
        <v>20</v>
      </c>
      <c r="D82" s="22">
        <v>107</v>
      </c>
      <c r="E82" s="22">
        <v>82</v>
      </c>
      <c r="F82" s="22">
        <v>752</v>
      </c>
      <c r="G82" s="22">
        <v>541</v>
      </c>
      <c r="H82" s="55">
        <v>30.49</v>
      </c>
      <c r="I82" s="55">
        <v>39</v>
      </c>
      <c r="J82" s="55">
        <v>0.6</v>
      </c>
      <c r="K82" s="55">
        <v>0.61</v>
      </c>
      <c r="L82" s="55">
        <v>0.68</v>
      </c>
      <c r="M82" s="55">
        <v>0.51</v>
      </c>
      <c r="N82" s="55"/>
      <c r="O82" s="55"/>
    </row>
    <row r="83" spans="1:15">
      <c r="A83" s="55">
        <v>43</v>
      </c>
      <c r="B83" s="55" t="s">
        <v>394</v>
      </c>
      <c r="C83" s="55" t="s">
        <v>19</v>
      </c>
      <c r="D83" s="22">
        <v>19</v>
      </c>
      <c r="E83" s="22">
        <v>37</v>
      </c>
      <c r="F83" s="22">
        <v>749</v>
      </c>
      <c r="G83" s="22">
        <v>1187</v>
      </c>
      <c r="H83" s="55">
        <v>-48.65</v>
      </c>
      <c r="I83" s="55">
        <v>-36.9</v>
      </c>
      <c r="J83" s="55">
        <v>0.11</v>
      </c>
      <c r="K83" s="55">
        <v>0.6</v>
      </c>
      <c r="L83" s="55">
        <v>0.3</v>
      </c>
      <c r="M83" s="55">
        <v>1.1299999999999999</v>
      </c>
      <c r="N83" s="55"/>
      <c r="O83" s="55"/>
    </row>
    <row r="84" spans="1:15" hidden="1">
      <c r="A84" s="55">
        <v>44</v>
      </c>
      <c r="B84" s="55" t="s">
        <v>659</v>
      </c>
      <c r="C84" s="55" t="s">
        <v>20</v>
      </c>
      <c r="D84" s="22">
        <v>128</v>
      </c>
      <c r="E84" s="22">
        <v>138</v>
      </c>
      <c r="F84" s="22">
        <v>727</v>
      </c>
      <c r="G84" s="22">
        <v>566</v>
      </c>
      <c r="H84" s="55">
        <v>-7.25</v>
      </c>
      <c r="I84" s="55">
        <v>28.45</v>
      </c>
      <c r="J84" s="55">
        <v>0.72</v>
      </c>
      <c r="K84" s="55">
        <v>0.59</v>
      </c>
      <c r="L84" s="55">
        <v>1.1399999999999999</v>
      </c>
      <c r="M84" s="55">
        <v>0.54</v>
      </c>
      <c r="N84" s="55"/>
      <c r="O84" s="55"/>
    </row>
    <row r="85" spans="1:15" hidden="1">
      <c r="A85" s="55">
        <v>45</v>
      </c>
      <c r="B85" s="55" t="s">
        <v>689</v>
      </c>
      <c r="C85" s="55" t="s">
        <v>20</v>
      </c>
      <c r="D85" s="22">
        <v>27</v>
      </c>
      <c r="E85" s="22">
        <v>27</v>
      </c>
      <c r="F85" s="22">
        <v>714</v>
      </c>
      <c r="G85" s="22">
        <v>167</v>
      </c>
      <c r="H85" s="55">
        <v>0</v>
      </c>
      <c r="I85" s="55">
        <v>327.54000000000002</v>
      </c>
      <c r="J85" s="55">
        <v>0.15</v>
      </c>
      <c r="K85" s="55">
        <v>0.57999999999999996</v>
      </c>
      <c r="L85" s="55">
        <v>0.22</v>
      </c>
      <c r="M85" s="55">
        <v>0.16</v>
      </c>
      <c r="N85" s="55"/>
      <c r="O85" s="55"/>
    </row>
    <row r="86" spans="1:15">
      <c r="A86" s="55">
        <v>46</v>
      </c>
      <c r="B86" s="55" t="s">
        <v>228</v>
      </c>
      <c r="C86" s="55" t="s">
        <v>19</v>
      </c>
      <c r="D86" s="22">
        <v>45</v>
      </c>
      <c r="E86" s="22">
        <v>76</v>
      </c>
      <c r="F86" s="22">
        <v>705</v>
      </c>
      <c r="G86" s="22">
        <v>799</v>
      </c>
      <c r="H86" s="55">
        <v>-40.79</v>
      </c>
      <c r="I86" s="55">
        <v>-11.76</v>
      </c>
      <c r="J86" s="55">
        <v>0.25</v>
      </c>
      <c r="K86" s="55">
        <v>0.56999999999999995</v>
      </c>
      <c r="L86" s="55">
        <v>0.63</v>
      </c>
      <c r="M86" s="55">
        <v>0.76</v>
      </c>
      <c r="N86" s="55"/>
      <c r="O86" s="55"/>
    </row>
    <row r="87" spans="1:15">
      <c r="A87" s="55">
        <v>47</v>
      </c>
      <c r="B87" s="55" t="s">
        <v>487</v>
      </c>
      <c r="C87" s="55" t="s">
        <v>19</v>
      </c>
      <c r="D87" s="22">
        <v>86</v>
      </c>
      <c r="E87" s="22">
        <v>7</v>
      </c>
      <c r="F87" s="22">
        <v>703</v>
      </c>
      <c r="G87" s="22">
        <v>195</v>
      </c>
      <c r="H87" s="55">
        <v>1128.57</v>
      </c>
      <c r="I87" s="55">
        <v>260.51</v>
      </c>
      <c r="J87" s="55">
        <v>0.48</v>
      </c>
      <c r="K87" s="55">
        <v>0.56999999999999995</v>
      </c>
      <c r="L87" s="55">
        <v>0.06</v>
      </c>
      <c r="M87" s="55">
        <v>0.19</v>
      </c>
      <c r="N87" s="55"/>
      <c r="O87" s="55"/>
    </row>
    <row r="88" spans="1:15" hidden="1">
      <c r="A88" s="55">
        <v>48</v>
      </c>
      <c r="B88" s="55" t="s">
        <v>493</v>
      </c>
      <c r="C88" s="55" t="s">
        <v>20</v>
      </c>
      <c r="D88" s="22">
        <v>93</v>
      </c>
      <c r="E88" s="22">
        <v>65</v>
      </c>
      <c r="F88" s="22">
        <v>682</v>
      </c>
      <c r="G88" s="22">
        <v>361</v>
      </c>
      <c r="H88" s="55">
        <v>43.08</v>
      </c>
      <c r="I88" s="55">
        <v>88.92</v>
      </c>
      <c r="J88" s="55">
        <v>0.52</v>
      </c>
      <c r="K88" s="55">
        <v>0.55000000000000004</v>
      </c>
      <c r="L88" s="55">
        <v>0.54</v>
      </c>
      <c r="M88" s="55">
        <v>0.34</v>
      </c>
      <c r="N88" s="55"/>
      <c r="O88" s="55"/>
    </row>
    <row r="89" spans="1:15" hidden="1">
      <c r="A89" s="55">
        <v>49</v>
      </c>
      <c r="B89" s="55" t="s">
        <v>558</v>
      </c>
      <c r="C89" s="55" t="s">
        <v>20</v>
      </c>
      <c r="D89" s="22">
        <v>91</v>
      </c>
      <c r="E89" s="22">
        <v>39</v>
      </c>
      <c r="F89" s="22">
        <v>670</v>
      </c>
      <c r="G89" s="22">
        <v>336</v>
      </c>
      <c r="H89" s="55">
        <v>133.33000000000001</v>
      </c>
      <c r="I89" s="55">
        <v>99.4</v>
      </c>
      <c r="J89" s="55">
        <v>0.51</v>
      </c>
      <c r="K89" s="55">
        <v>0.54</v>
      </c>
      <c r="L89" s="55">
        <v>0.32</v>
      </c>
      <c r="M89" s="55">
        <v>0.32</v>
      </c>
      <c r="N89" s="55"/>
      <c r="O89" s="55"/>
    </row>
    <row r="90" spans="1:15" hidden="1">
      <c r="A90" s="55">
        <v>50</v>
      </c>
      <c r="B90" s="55" t="s">
        <v>1010</v>
      </c>
      <c r="C90" s="55" t="s">
        <v>20</v>
      </c>
      <c r="D90" s="22">
        <v>89</v>
      </c>
      <c r="E90" s="22">
        <v>0</v>
      </c>
      <c r="F90" s="22">
        <v>654</v>
      </c>
      <c r="G90" s="22">
        <v>0</v>
      </c>
      <c r="H90" s="55">
        <v>0</v>
      </c>
      <c r="I90" s="55">
        <v>0</v>
      </c>
      <c r="J90" s="55">
        <v>0.5</v>
      </c>
      <c r="K90" s="55">
        <v>0.53</v>
      </c>
      <c r="L90" s="55">
        <v>0</v>
      </c>
      <c r="M90" s="55">
        <v>0</v>
      </c>
      <c r="N90" s="55"/>
      <c r="O90" s="55"/>
    </row>
    <row r="91" spans="1:15" hidden="1">
      <c r="A91" s="55">
        <v>51</v>
      </c>
      <c r="B91" s="55" t="s">
        <v>560</v>
      </c>
      <c r="C91" s="55" t="s">
        <v>20</v>
      </c>
      <c r="D91" s="22">
        <v>10</v>
      </c>
      <c r="E91" s="22">
        <v>207</v>
      </c>
      <c r="F91" s="22">
        <v>623</v>
      </c>
      <c r="G91" s="22">
        <v>831</v>
      </c>
      <c r="H91" s="55">
        <v>-95.17</v>
      </c>
      <c r="I91" s="55">
        <v>-25.03</v>
      </c>
      <c r="J91" s="55">
        <v>0.06</v>
      </c>
      <c r="K91" s="55">
        <v>0.5</v>
      </c>
      <c r="L91" s="55">
        <v>1.7</v>
      </c>
      <c r="M91" s="55">
        <v>0.79</v>
      </c>
      <c r="N91" s="55"/>
      <c r="O91" s="55"/>
    </row>
    <row r="92" spans="1:15" hidden="1">
      <c r="A92" s="55">
        <v>52</v>
      </c>
      <c r="B92" s="55" t="s">
        <v>400</v>
      </c>
      <c r="C92" s="55" t="s">
        <v>20</v>
      </c>
      <c r="D92" s="22">
        <v>58</v>
      </c>
      <c r="E92" s="22">
        <v>120</v>
      </c>
      <c r="F92" s="22">
        <v>591</v>
      </c>
      <c r="G92" s="22">
        <v>875</v>
      </c>
      <c r="H92" s="55">
        <v>-51.67</v>
      </c>
      <c r="I92" s="55">
        <v>-32.46</v>
      </c>
      <c r="J92" s="55">
        <v>0.33</v>
      </c>
      <c r="K92" s="55">
        <v>0.48</v>
      </c>
      <c r="L92" s="55">
        <v>0.99</v>
      </c>
      <c r="M92" s="55">
        <v>0.83</v>
      </c>
      <c r="N92" s="55"/>
      <c r="O92" s="55"/>
    </row>
    <row r="93" spans="1:15">
      <c r="A93" s="55">
        <v>53</v>
      </c>
      <c r="B93" s="55" t="s">
        <v>358</v>
      </c>
      <c r="C93" s="55" t="s">
        <v>19</v>
      </c>
      <c r="D93" s="22">
        <v>69</v>
      </c>
      <c r="E93" s="22">
        <v>27</v>
      </c>
      <c r="F93" s="22">
        <v>590</v>
      </c>
      <c r="G93" s="22">
        <v>293</v>
      </c>
      <c r="H93" s="62">
        <v>155.56</v>
      </c>
      <c r="I93" s="62">
        <v>101.37</v>
      </c>
      <c r="J93" s="55">
        <v>0.39</v>
      </c>
      <c r="K93" s="55">
        <v>0.48</v>
      </c>
      <c r="L93" s="55">
        <v>0.22</v>
      </c>
      <c r="M93" s="55">
        <v>0.28000000000000003</v>
      </c>
      <c r="N93" s="55"/>
      <c r="O93" s="55"/>
    </row>
    <row r="94" spans="1:15">
      <c r="A94" s="55">
        <v>54</v>
      </c>
      <c r="B94" s="55" t="s">
        <v>116</v>
      </c>
      <c r="C94" s="55" t="s">
        <v>19</v>
      </c>
      <c r="D94" s="22">
        <v>62</v>
      </c>
      <c r="E94" s="22">
        <v>123</v>
      </c>
      <c r="F94" s="22">
        <v>547</v>
      </c>
      <c r="G94" s="22">
        <v>706</v>
      </c>
      <c r="H94" s="78">
        <v>-49.59</v>
      </c>
      <c r="I94" s="78">
        <v>-22.52</v>
      </c>
      <c r="J94" s="55">
        <v>0.35</v>
      </c>
      <c r="K94" s="55">
        <v>0.44</v>
      </c>
      <c r="L94" s="55">
        <v>1.01</v>
      </c>
      <c r="M94" s="55">
        <v>0.67</v>
      </c>
      <c r="N94" s="55"/>
      <c r="O94" s="55"/>
    </row>
    <row r="95" spans="1:15" hidden="1">
      <c r="A95" s="55">
        <v>55</v>
      </c>
      <c r="B95" s="55" t="s">
        <v>598</v>
      </c>
      <c r="C95" s="55" t="s">
        <v>20</v>
      </c>
      <c r="D95" s="22">
        <v>115</v>
      </c>
      <c r="E95" s="22">
        <v>20</v>
      </c>
      <c r="F95" s="22">
        <v>541</v>
      </c>
      <c r="G95" s="22">
        <v>334</v>
      </c>
      <c r="H95" s="55">
        <v>475</v>
      </c>
      <c r="I95" s="55">
        <v>61.98</v>
      </c>
      <c r="J95" s="55">
        <v>0.64</v>
      </c>
      <c r="K95" s="55">
        <v>0.44</v>
      </c>
      <c r="L95" s="55">
        <v>0.16</v>
      </c>
      <c r="M95" s="55">
        <v>0.32</v>
      </c>
      <c r="N95" s="55"/>
      <c r="O95" s="55"/>
    </row>
    <row r="96" spans="1:15" hidden="1">
      <c r="A96" s="55">
        <v>56</v>
      </c>
      <c r="B96" s="55" t="s">
        <v>363</v>
      </c>
      <c r="C96" s="55" t="s">
        <v>20</v>
      </c>
      <c r="D96" s="22">
        <v>47</v>
      </c>
      <c r="E96" s="22">
        <v>7</v>
      </c>
      <c r="F96" s="22">
        <v>535</v>
      </c>
      <c r="G96" s="22">
        <v>590</v>
      </c>
      <c r="H96" s="55">
        <v>571.42999999999995</v>
      </c>
      <c r="I96" s="55">
        <v>-9.32</v>
      </c>
      <c r="J96" s="55">
        <v>0.26</v>
      </c>
      <c r="K96" s="55">
        <v>0.43</v>
      </c>
      <c r="L96" s="55">
        <v>0.06</v>
      </c>
      <c r="M96" s="55">
        <v>0.56000000000000005</v>
      </c>
      <c r="N96" s="55"/>
      <c r="O96" s="55"/>
    </row>
    <row r="97" spans="1:15">
      <c r="A97" s="55">
        <v>57</v>
      </c>
      <c r="B97" s="55" t="s">
        <v>40</v>
      </c>
      <c r="C97" s="55" t="s">
        <v>19</v>
      </c>
      <c r="D97" s="22">
        <v>105</v>
      </c>
      <c r="E97" s="22">
        <v>82</v>
      </c>
      <c r="F97" s="22">
        <v>512</v>
      </c>
      <c r="G97" s="22">
        <v>392</v>
      </c>
      <c r="H97" s="55">
        <v>28.05</v>
      </c>
      <c r="I97" s="55">
        <v>30.61</v>
      </c>
      <c r="J97" s="55">
        <v>0.59</v>
      </c>
      <c r="K97" s="55">
        <v>0.41</v>
      </c>
      <c r="L97" s="55">
        <v>0.68</v>
      </c>
      <c r="M97" s="55">
        <v>0.37</v>
      </c>
      <c r="N97" s="55"/>
      <c r="O97" s="55"/>
    </row>
    <row r="98" spans="1:15" hidden="1">
      <c r="A98" s="55">
        <v>58</v>
      </c>
      <c r="B98" s="55" t="s">
        <v>99</v>
      </c>
      <c r="C98" s="55" t="s">
        <v>20</v>
      </c>
      <c r="D98" s="22">
        <v>32</v>
      </c>
      <c r="E98" s="22">
        <v>107</v>
      </c>
      <c r="F98" s="22">
        <v>505</v>
      </c>
      <c r="G98" s="22">
        <v>942</v>
      </c>
      <c r="H98" s="55">
        <v>-70.09</v>
      </c>
      <c r="I98" s="55">
        <v>-46.39</v>
      </c>
      <c r="J98" s="55">
        <v>0.18</v>
      </c>
      <c r="K98" s="55">
        <v>0.41</v>
      </c>
      <c r="L98" s="55">
        <v>0.88</v>
      </c>
      <c r="M98" s="55">
        <v>0.89</v>
      </c>
      <c r="N98" s="55"/>
      <c r="O98" s="55"/>
    </row>
    <row r="99" spans="1:15">
      <c r="A99" s="55">
        <v>59</v>
      </c>
      <c r="B99" s="55" t="s">
        <v>652</v>
      </c>
      <c r="C99" s="55" t="s">
        <v>19</v>
      </c>
      <c r="D99" s="22">
        <v>104</v>
      </c>
      <c r="E99" s="22">
        <v>31</v>
      </c>
      <c r="F99" s="22">
        <v>500</v>
      </c>
      <c r="G99" s="22">
        <v>243</v>
      </c>
      <c r="H99" s="55">
        <v>235.48</v>
      </c>
      <c r="I99" s="55">
        <v>105.76</v>
      </c>
      <c r="J99" s="55">
        <v>0.57999999999999996</v>
      </c>
      <c r="K99" s="55">
        <v>0.4</v>
      </c>
      <c r="L99" s="55">
        <v>0.26</v>
      </c>
      <c r="M99" s="55">
        <v>0.23</v>
      </c>
      <c r="N99" s="55"/>
      <c r="O99" s="55"/>
    </row>
    <row r="100" spans="1:15">
      <c r="A100" s="55">
        <v>60</v>
      </c>
      <c r="B100" s="55" t="s">
        <v>404</v>
      </c>
      <c r="C100" s="55" t="s">
        <v>19</v>
      </c>
      <c r="D100" s="22">
        <v>71</v>
      </c>
      <c r="E100" s="22">
        <v>124</v>
      </c>
      <c r="F100" s="22">
        <v>495</v>
      </c>
      <c r="G100" s="22">
        <v>309</v>
      </c>
      <c r="H100" s="55">
        <v>-42.74</v>
      </c>
      <c r="I100" s="55">
        <v>60.19</v>
      </c>
      <c r="J100" s="55">
        <v>0.4</v>
      </c>
      <c r="K100" s="55">
        <v>0.4</v>
      </c>
      <c r="L100" s="55">
        <v>1.02</v>
      </c>
      <c r="M100" s="55">
        <v>0.28999999999999998</v>
      </c>
      <c r="N100" s="55"/>
      <c r="O100" s="55"/>
    </row>
    <row r="101" spans="1:15" hidden="1">
      <c r="A101" s="55">
        <v>61</v>
      </c>
      <c r="B101" s="55" t="s">
        <v>1031</v>
      </c>
      <c r="C101" s="55" t="s">
        <v>20</v>
      </c>
      <c r="D101" s="22">
        <v>41</v>
      </c>
      <c r="E101" s="22">
        <v>0</v>
      </c>
      <c r="F101" s="22">
        <v>481</v>
      </c>
      <c r="G101" s="22">
        <v>0</v>
      </c>
      <c r="H101" s="55">
        <v>0</v>
      </c>
      <c r="I101" s="55">
        <v>0</v>
      </c>
      <c r="J101" s="55">
        <v>0.23</v>
      </c>
      <c r="K101" s="55">
        <v>0.39</v>
      </c>
      <c r="L101" s="55">
        <v>0</v>
      </c>
      <c r="M101" s="55">
        <v>0</v>
      </c>
      <c r="N101" s="55"/>
      <c r="O101" s="55"/>
    </row>
    <row r="102" spans="1:15">
      <c r="A102" s="55">
        <v>62</v>
      </c>
      <c r="B102" s="55" t="s">
        <v>373</v>
      </c>
      <c r="C102" s="55" t="s">
        <v>19</v>
      </c>
      <c r="D102" s="22">
        <v>45</v>
      </c>
      <c r="E102" s="22">
        <v>39</v>
      </c>
      <c r="F102" s="22">
        <v>447</v>
      </c>
      <c r="G102" s="22">
        <v>840</v>
      </c>
      <c r="H102" s="55">
        <v>15.38</v>
      </c>
      <c r="I102" s="55">
        <v>-46.79</v>
      </c>
      <c r="J102" s="55">
        <v>0.25</v>
      </c>
      <c r="K102" s="55">
        <v>0.36</v>
      </c>
      <c r="L102" s="55">
        <v>0.32</v>
      </c>
      <c r="M102" s="55">
        <v>0.8</v>
      </c>
      <c r="N102" s="55"/>
      <c r="O102" s="55"/>
    </row>
    <row r="103" spans="1:15">
      <c r="A103" s="55">
        <v>63</v>
      </c>
      <c r="B103" s="55" t="s">
        <v>75</v>
      </c>
      <c r="C103" s="55" t="s">
        <v>19</v>
      </c>
      <c r="D103" s="22">
        <v>14</v>
      </c>
      <c r="E103" s="22">
        <v>1</v>
      </c>
      <c r="F103" s="22">
        <v>430</v>
      </c>
      <c r="G103" s="22">
        <v>334</v>
      </c>
      <c r="H103" s="55">
        <v>1300</v>
      </c>
      <c r="I103" s="55">
        <v>28.74</v>
      </c>
      <c r="J103" s="55">
        <v>0.08</v>
      </c>
      <c r="K103" s="55">
        <v>0.35</v>
      </c>
      <c r="L103" s="55">
        <v>0.01</v>
      </c>
      <c r="M103" s="55">
        <v>0.32</v>
      </c>
      <c r="N103" s="55"/>
      <c r="O103" s="55"/>
    </row>
    <row r="104" spans="1:15">
      <c r="A104" s="55">
        <v>64</v>
      </c>
      <c r="B104" s="55" t="s">
        <v>389</v>
      </c>
      <c r="C104" s="55" t="s">
        <v>19</v>
      </c>
      <c r="D104" s="22">
        <v>77</v>
      </c>
      <c r="E104" s="22">
        <v>84</v>
      </c>
      <c r="F104" s="22">
        <v>422</v>
      </c>
      <c r="G104" s="22">
        <v>1004</v>
      </c>
      <c r="H104" s="55">
        <v>-8.33</v>
      </c>
      <c r="I104" s="55">
        <v>-57.97</v>
      </c>
      <c r="J104" s="55">
        <v>0.43</v>
      </c>
      <c r="K104" s="55">
        <v>0.34</v>
      </c>
      <c r="L104" s="55">
        <v>0.69</v>
      </c>
      <c r="M104" s="55">
        <v>0.95</v>
      </c>
      <c r="N104" s="55"/>
      <c r="O104" s="55"/>
    </row>
    <row r="105" spans="1:15" hidden="1">
      <c r="A105" s="55">
        <v>65</v>
      </c>
      <c r="B105" s="55" t="s">
        <v>405</v>
      </c>
      <c r="C105" s="55" t="s">
        <v>20</v>
      </c>
      <c r="D105" s="22">
        <v>10</v>
      </c>
      <c r="E105" s="22">
        <v>25</v>
      </c>
      <c r="F105" s="22">
        <v>421</v>
      </c>
      <c r="G105" s="22">
        <v>409</v>
      </c>
      <c r="H105" s="55">
        <v>-60</v>
      </c>
      <c r="I105" s="55">
        <v>2.93</v>
      </c>
      <c r="J105" s="55">
        <v>0.06</v>
      </c>
      <c r="K105" s="55">
        <v>0.34</v>
      </c>
      <c r="L105" s="55">
        <v>0.21</v>
      </c>
      <c r="M105" s="55">
        <v>0.39</v>
      </c>
      <c r="N105" s="55"/>
      <c r="O105" s="55"/>
    </row>
    <row r="106" spans="1:15">
      <c r="A106" s="55">
        <v>66</v>
      </c>
      <c r="B106" s="55" t="s">
        <v>374</v>
      </c>
      <c r="C106" s="55" t="s">
        <v>19</v>
      </c>
      <c r="D106" s="22">
        <v>97</v>
      </c>
      <c r="E106" s="22">
        <v>16</v>
      </c>
      <c r="F106" s="22">
        <v>415</v>
      </c>
      <c r="G106" s="22">
        <v>88</v>
      </c>
      <c r="H106" s="55">
        <v>506.25</v>
      </c>
      <c r="I106" s="55">
        <v>371.59</v>
      </c>
      <c r="J106" s="55">
        <v>0.54</v>
      </c>
      <c r="K106" s="55">
        <v>0.33</v>
      </c>
      <c r="L106" s="55">
        <v>0.13</v>
      </c>
      <c r="M106" s="55">
        <v>0.08</v>
      </c>
      <c r="N106" s="55"/>
      <c r="O106" s="55"/>
    </row>
    <row r="107" spans="1:15" hidden="1">
      <c r="A107" s="55">
        <v>67</v>
      </c>
      <c r="B107" s="55" t="s">
        <v>591</v>
      </c>
      <c r="C107" s="55" t="s">
        <v>20</v>
      </c>
      <c r="D107" s="22">
        <v>38</v>
      </c>
      <c r="E107" s="22">
        <v>137</v>
      </c>
      <c r="F107" s="22">
        <v>411</v>
      </c>
      <c r="G107" s="22">
        <v>1248</v>
      </c>
      <c r="H107" s="55">
        <v>-72.260000000000005</v>
      </c>
      <c r="I107" s="55">
        <v>-67.069999999999993</v>
      </c>
      <c r="J107" s="55">
        <v>0.21</v>
      </c>
      <c r="K107" s="55">
        <v>0.33</v>
      </c>
      <c r="L107" s="55">
        <v>1.1299999999999999</v>
      </c>
      <c r="M107" s="55">
        <v>1.18</v>
      </c>
      <c r="N107" s="55"/>
      <c r="O107" s="55"/>
    </row>
    <row r="108" spans="1:15">
      <c r="A108" s="55">
        <v>68</v>
      </c>
      <c r="B108" s="55" t="s">
        <v>234</v>
      </c>
      <c r="C108" s="55" t="s">
        <v>19</v>
      </c>
      <c r="D108" s="22">
        <v>16</v>
      </c>
      <c r="E108" s="22">
        <v>13</v>
      </c>
      <c r="F108" s="22">
        <v>411</v>
      </c>
      <c r="G108" s="22">
        <v>17</v>
      </c>
      <c r="H108" s="55">
        <v>23.08</v>
      </c>
      <c r="I108" s="55">
        <v>2317.65</v>
      </c>
      <c r="J108" s="55">
        <v>0.09</v>
      </c>
      <c r="K108" s="55">
        <v>0.33</v>
      </c>
      <c r="L108" s="55">
        <v>0.11</v>
      </c>
      <c r="M108" s="55">
        <v>0.02</v>
      </c>
      <c r="N108" s="55"/>
      <c r="O108" s="55"/>
    </row>
    <row r="109" spans="1:15" hidden="1">
      <c r="A109" s="55">
        <v>69</v>
      </c>
      <c r="B109" s="55" t="s">
        <v>1093</v>
      </c>
      <c r="C109" s="55" t="s">
        <v>20</v>
      </c>
      <c r="D109" s="22">
        <v>76</v>
      </c>
      <c r="E109" s="22">
        <v>25</v>
      </c>
      <c r="F109" s="22">
        <v>385</v>
      </c>
      <c r="G109" s="22">
        <v>61</v>
      </c>
      <c r="H109" s="55">
        <v>204</v>
      </c>
      <c r="I109" s="55">
        <v>531.15</v>
      </c>
      <c r="J109" s="55">
        <v>0.43</v>
      </c>
      <c r="K109" s="55">
        <v>0.31</v>
      </c>
      <c r="L109" s="55">
        <v>0.21</v>
      </c>
      <c r="M109" s="55">
        <v>0.06</v>
      </c>
      <c r="N109" s="55"/>
      <c r="O109" s="55"/>
    </row>
    <row r="110" spans="1:15">
      <c r="A110" s="55">
        <v>70</v>
      </c>
      <c r="B110" s="55" t="s">
        <v>352</v>
      </c>
      <c r="C110" s="55" t="s">
        <v>19</v>
      </c>
      <c r="D110" s="22">
        <v>29</v>
      </c>
      <c r="E110" s="22">
        <v>53</v>
      </c>
      <c r="F110" s="22">
        <v>353</v>
      </c>
      <c r="G110" s="22">
        <v>455</v>
      </c>
      <c r="H110" s="55">
        <v>-45.28</v>
      </c>
      <c r="I110" s="55">
        <v>-22.42</v>
      </c>
      <c r="J110" s="55">
        <v>0.16</v>
      </c>
      <c r="K110" s="55">
        <v>0.28000000000000003</v>
      </c>
      <c r="L110" s="55">
        <v>0.44</v>
      </c>
      <c r="M110" s="55">
        <v>0.43</v>
      </c>
      <c r="N110" s="55"/>
      <c r="O110" s="55"/>
    </row>
    <row r="111" spans="1:15" hidden="1">
      <c r="A111" s="55">
        <v>71</v>
      </c>
      <c r="B111" s="55" t="s">
        <v>1187</v>
      </c>
      <c r="C111" s="55" t="s">
        <v>20</v>
      </c>
      <c r="D111" s="22">
        <v>66</v>
      </c>
      <c r="E111" s="22">
        <v>0</v>
      </c>
      <c r="F111" s="22">
        <v>351</v>
      </c>
      <c r="G111" s="22">
        <v>0</v>
      </c>
      <c r="H111" s="55">
        <v>0</v>
      </c>
      <c r="I111" s="55">
        <v>0</v>
      </c>
      <c r="J111" s="55">
        <v>0.37</v>
      </c>
      <c r="K111" s="55">
        <v>0.28000000000000003</v>
      </c>
      <c r="L111" s="55">
        <v>0</v>
      </c>
      <c r="M111" s="55">
        <v>0</v>
      </c>
      <c r="N111" s="55"/>
      <c r="O111" s="55"/>
    </row>
    <row r="112" spans="1:15">
      <c r="A112" s="55">
        <v>72</v>
      </c>
      <c r="B112" s="55" t="s">
        <v>401</v>
      </c>
      <c r="C112" s="55" t="s">
        <v>19</v>
      </c>
      <c r="D112" s="22">
        <v>60</v>
      </c>
      <c r="E112" s="22">
        <v>6</v>
      </c>
      <c r="F112" s="22">
        <v>337</v>
      </c>
      <c r="G112" s="22">
        <v>808</v>
      </c>
      <c r="H112" s="55">
        <v>900</v>
      </c>
      <c r="I112" s="55">
        <v>-58.29</v>
      </c>
      <c r="J112" s="55">
        <v>0.34</v>
      </c>
      <c r="K112" s="55">
        <v>0.27</v>
      </c>
      <c r="L112" s="55">
        <v>0.05</v>
      </c>
      <c r="M112" s="55">
        <v>0.77</v>
      </c>
      <c r="N112" s="55"/>
      <c r="O112" s="55"/>
    </row>
    <row r="113" spans="1:15" hidden="1">
      <c r="A113" s="55">
        <v>73</v>
      </c>
      <c r="B113" s="55" t="s">
        <v>481</v>
      </c>
      <c r="C113" s="55" t="s">
        <v>20</v>
      </c>
      <c r="D113" s="22">
        <v>3</v>
      </c>
      <c r="E113" s="22">
        <v>180</v>
      </c>
      <c r="F113" s="22">
        <v>335</v>
      </c>
      <c r="G113" s="22">
        <v>391</v>
      </c>
      <c r="H113" s="55">
        <v>-98.33</v>
      </c>
      <c r="I113" s="55">
        <v>-14.32</v>
      </c>
      <c r="J113" s="55">
        <v>0.02</v>
      </c>
      <c r="K113" s="55">
        <v>0.27</v>
      </c>
      <c r="L113" s="55">
        <v>1.48</v>
      </c>
      <c r="M113" s="55">
        <v>0.37</v>
      </c>
      <c r="N113" s="55"/>
      <c r="O113" s="55"/>
    </row>
    <row r="114" spans="1:15" hidden="1">
      <c r="A114" s="55">
        <v>74</v>
      </c>
      <c r="B114" s="55" t="s">
        <v>639</v>
      </c>
      <c r="C114" s="55" t="s">
        <v>20</v>
      </c>
      <c r="D114" s="22">
        <v>48</v>
      </c>
      <c r="E114" s="22">
        <v>19</v>
      </c>
      <c r="F114" s="22">
        <v>335</v>
      </c>
      <c r="G114" s="22">
        <v>250</v>
      </c>
      <c r="H114" s="55">
        <v>152.63</v>
      </c>
      <c r="I114" s="55">
        <v>34</v>
      </c>
      <c r="J114" s="55">
        <v>0.27</v>
      </c>
      <c r="K114" s="55">
        <v>0.27</v>
      </c>
      <c r="L114" s="55">
        <v>0.16</v>
      </c>
      <c r="M114" s="55">
        <v>0.24</v>
      </c>
      <c r="N114" s="55"/>
      <c r="O114" s="55"/>
    </row>
    <row r="115" spans="1:15" hidden="1">
      <c r="A115" s="55">
        <v>75</v>
      </c>
      <c r="B115" s="55" t="s">
        <v>137</v>
      </c>
      <c r="C115" s="55" t="s">
        <v>20</v>
      </c>
      <c r="D115" s="22">
        <v>22</v>
      </c>
      <c r="E115" s="22">
        <v>0</v>
      </c>
      <c r="F115" s="22">
        <v>304</v>
      </c>
      <c r="G115" s="22">
        <v>0</v>
      </c>
      <c r="H115" s="55">
        <v>0</v>
      </c>
      <c r="I115" s="55">
        <v>0</v>
      </c>
      <c r="J115" s="55">
        <v>0.12</v>
      </c>
      <c r="K115" s="55">
        <v>0.24</v>
      </c>
      <c r="L115" s="55">
        <v>0</v>
      </c>
      <c r="M115" s="55">
        <v>0</v>
      </c>
      <c r="N115" s="55"/>
      <c r="O115" s="55"/>
    </row>
    <row r="116" spans="1:15" hidden="1">
      <c r="A116" s="55">
        <v>76</v>
      </c>
      <c r="B116" s="55" t="s">
        <v>410</v>
      </c>
      <c r="C116" s="55" t="s">
        <v>20</v>
      </c>
      <c r="D116" s="22">
        <v>5</v>
      </c>
      <c r="E116" s="22">
        <v>88</v>
      </c>
      <c r="F116" s="22">
        <v>278</v>
      </c>
      <c r="G116" s="22">
        <v>1067</v>
      </c>
      <c r="H116" s="55">
        <v>-94.32</v>
      </c>
      <c r="I116" s="55">
        <v>-73.95</v>
      </c>
      <c r="J116" s="55">
        <v>0.03</v>
      </c>
      <c r="K116" s="55">
        <v>0.22</v>
      </c>
      <c r="L116" s="55">
        <v>0.72</v>
      </c>
      <c r="M116" s="55">
        <v>1.01</v>
      </c>
      <c r="N116" s="55"/>
      <c r="O116" s="55"/>
    </row>
    <row r="117" spans="1:15" hidden="1">
      <c r="A117" s="55">
        <v>77</v>
      </c>
      <c r="B117" s="55" t="s">
        <v>1003</v>
      </c>
      <c r="C117" s="55" t="s">
        <v>20</v>
      </c>
      <c r="D117" s="22">
        <v>40</v>
      </c>
      <c r="E117" s="22">
        <v>55</v>
      </c>
      <c r="F117" s="22">
        <v>265</v>
      </c>
      <c r="G117" s="22">
        <v>55</v>
      </c>
      <c r="H117" s="55">
        <v>-27.27</v>
      </c>
      <c r="I117" s="55">
        <v>381.82</v>
      </c>
      <c r="J117" s="55">
        <v>0.22</v>
      </c>
      <c r="K117" s="55">
        <v>0.21</v>
      </c>
      <c r="L117" s="55">
        <v>0.45</v>
      </c>
      <c r="M117" s="55">
        <v>0.05</v>
      </c>
      <c r="N117" s="55"/>
      <c r="O117" s="55"/>
    </row>
    <row r="118" spans="1:15">
      <c r="A118" s="55">
        <v>78</v>
      </c>
      <c r="B118" s="55" t="s">
        <v>629</v>
      </c>
      <c r="C118" s="55" t="s">
        <v>19</v>
      </c>
      <c r="D118" s="22">
        <v>7</v>
      </c>
      <c r="E118" s="22">
        <v>18</v>
      </c>
      <c r="F118" s="22">
        <v>263</v>
      </c>
      <c r="G118" s="22">
        <v>234</v>
      </c>
      <c r="H118" s="55">
        <v>-61.11</v>
      </c>
      <c r="I118" s="55">
        <v>12.39</v>
      </c>
      <c r="J118" s="55">
        <v>0.04</v>
      </c>
      <c r="K118" s="55">
        <v>0.21</v>
      </c>
      <c r="L118" s="55">
        <v>0.15</v>
      </c>
      <c r="M118" s="55">
        <v>0.22</v>
      </c>
      <c r="N118" s="55"/>
      <c r="O118" s="55"/>
    </row>
    <row r="119" spans="1:15">
      <c r="A119" s="55">
        <v>79</v>
      </c>
      <c r="B119" s="55" t="s">
        <v>1215</v>
      </c>
      <c r="C119" s="55" t="s">
        <v>19</v>
      </c>
      <c r="D119" s="22">
        <v>86</v>
      </c>
      <c r="E119" s="22">
        <v>0</v>
      </c>
      <c r="F119" s="22">
        <v>254</v>
      </c>
      <c r="G119" s="22">
        <v>0</v>
      </c>
      <c r="H119" s="55">
        <v>0</v>
      </c>
      <c r="I119" s="55">
        <v>0</v>
      </c>
      <c r="J119" s="55">
        <v>0.48</v>
      </c>
      <c r="K119" s="55">
        <v>0.2</v>
      </c>
      <c r="L119" s="55">
        <v>0</v>
      </c>
      <c r="M119" s="55">
        <v>0</v>
      </c>
      <c r="N119" s="55"/>
      <c r="O119" s="55"/>
    </row>
    <row r="120" spans="1:15" hidden="1">
      <c r="A120" s="55">
        <v>80</v>
      </c>
      <c r="B120" s="55" t="s">
        <v>395</v>
      </c>
      <c r="C120" s="55" t="s">
        <v>20</v>
      </c>
      <c r="D120" s="22">
        <v>16</v>
      </c>
      <c r="E120" s="22">
        <v>85</v>
      </c>
      <c r="F120" s="22">
        <v>252</v>
      </c>
      <c r="G120" s="22">
        <v>548</v>
      </c>
      <c r="H120" s="55">
        <v>-81.180000000000007</v>
      </c>
      <c r="I120" s="55">
        <v>-54.01</v>
      </c>
      <c r="J120" s="55">
        <v>0.09</v>
      </c>
      <c r="K120" s="55">
        <v>0.2</v>
      </c>
      <c r="L120" s="55">
        <v>0.7</v>
      </c>
      <c r="M120" s="55">
        <v>0.52</v>
      </c>
      <c r="N120" s="55"/>
      <c r="O120" s="55"/>
    </row>
    <row r="121" spans="1:15">
      <c r="A121" s="55">
        <v>81</v>
      </c>
      <c r="B121" s="55" t="s">
        <v>360</v>
      </c>
      <c r="C121" s="55" t="s">
        <v>19</v>
      </c>
      <c r="D121" s="22">
        <v>19</v>
      </c>
      <c r="E121" s="22">
        <v>88</v>
      </c>
      <c r="F121" s="22">
        <v>248</v>
      </c>
      <c r="G121" s="22">
        <v>1136</v>
      </c>
      <c r="H121" s="55">
        <v>-78.41</v>
      </c>
      <c r="I121" s="55">
        <v>-78.17</v>
      </c>
      <c r="J121" s="55">
        <v>0.11</v>
      </c>
      <c r="K121" s="55">
        <v>0.2</v>
      </c>
      <c r="L121" s="55">
        <v>0.72</v>
      </c>
      <c r="M121" s="55">
        <v>1.08</v>
      </c>
      <c r="N121" s="55"/>
      <c r="O121" s="55"/>
    </row>
    <row r="122" spans="1:15">
      <c r="A122" s="55">
        <v>82</v>
      </c>
      <c r="B122" s="55" t="s">
        <v>172</v>
      </c>
      <c r="C122" s="55" t="s">
        <v>19</v>
      </c>
      <c r="D122" s="22">
        <v>27</v>
      </c>
      <c r="E122" s="22">
        <v>34</v>
      </c>
      <c r="F122" s="22">
        <v>248</v>
      </c>
      <c r="G122" s="22">
        <v>318</v>
      </c>
      <c r="H122" s="55">
        <v>-20.59</v>
      </c>
      <c r="I122" s="55">
        <v>-22.01</v>
      </c>
      <c r="J122" s="55">
        <v>0.15</v>
      </c>
      <c r="K122" s="55">
        <v>0.2</v>
      </c>
      <c r="L122" s="55">
        <v>0.28000000000000003</v>
      </c>
      <c r="M122" s="55">
        <v>0.3</v>
      </c>
      <c r="N122" s="55"/>
      <c r="O122" s="55"/>
    </row>
    <row r="123" spans="1:15" hidden="1">
      <c r="A123" s="55">
        <v>83</v>
      </c>
      <c r="B123" s="55" t="s">
        <v>441</v>
      </c>
      <c r="C123" s="55" t="s">
        <v>20</v>
      </c>
      <c r="D123" s="22">
        <v>37</v>
      </c>
      <c r="E123" s="22">
        <v>20</v>
      </c>
      <c r="F123" s="22">
        <v>246</v>
      </c>
      <c r="G123" s="22">
        <v>95</v>
      </c>
      <c r="H123" s="55">
        <v>85</v>
      </c>
      <c r="I123" s="55">
        <v>158.94999999999999</v>
      </c>
      <c r="J123" s="55">
        <v>0.21</v>
      </c>
      <c r="K123" s="55">
        <v>0.2</v>
      </c>
      <c r="L123" s="55">
        <v>0.16</v>
      </c>
      <c r="M123" s="55">
        <v>0.09</v>
      </c>
      <c r="N123" s="55"/>
      <c r="O123" s="55"/>
    </row>
    <row r="124" spans="1:15">
      <c r="A124" s="55">
        <v>84</v>
      </c>
      <c r="B124" s="55" t="s">
        <v>430</v>
      </c>
      <c r="C124" s="55" t="s">
        <v>19</v>
      </c>
      <c r="D124" s="22">
        <v>37</v>
      </c>
      <c r="E124" s="22">
        <v>24</v>
      </c>
      <c r="F124" s="22">
        <v>245</v>
      </c>
      <c r="G124" s="22">
        <v>487</v>
      </c>
      <c r="H124" s="55">
        <v>54.17</v>
      </c>
      <c r="I124" s="55">
        <v>-49.69</v>
      </c>
      <c r="J124" s="55">
        <v>0.21</v>
      </c>
      <c r="K124" s="55">
        <v>0.2</v>
      </c>
      <c r="L124" s="55">
        <v>0.2</v>
      </c>
      <c r="M124" s="55">
        <v>0.46</v>
      </c>
      <c r="N124" s="55"/>
      <c r="O124" s="55"/>
    </row>
    <row r="125" spans="1:15" hidden="1">
      <c r="A125" s="55">
        <v>85</v>
      </c>
      <c r="B125" s="55" t="s">
        <v>1035</v>
      </c>
      <c r="C125" s="55" t="s">
        <v>20</v>
      </c>
      <c r="D125" s="22">
        <v>99</v>
      </c>
      <c r="E125" s="22">
        <v>0</v>
      </c>
      <c r="F125" s="22">
        <v>244</v>
      </c>
      <c r="G125" s="22">
        <v>0</v>
      </c>
      <c r="H125" s="55">
        <v>0</v>
      </c>
      <c r="I125" s="55">
        <v>0</v>
      </c>
      <c r="J125" s="55">
        <v>0.56000000000000005</v>
      </c>
      <c r="K125" s="55">
        <v>0.2</v>
      </c>
      <c r="L125" s="55">
        <v>0</v>
      </c>
      <c r="M125" s="55">
        <v>0</v>
      </c>
      <c r="N125" s="55"/>
      <c r="O125" s="55"/>
    </row>
    <row r="126" spans="1:15" hidden="1">
      <c r="A126" s="55">
        <v>86</v>
      </c>
      <c r="B126" s="55" t="s">
        <v>571</v>
      </c>
      <c r="C126" s="55" t="s">
        <v>20</v>
      </c>
      <c r="D126" s="22">
        <v>4</v>
      </c>
      <c r="E126" s="22">
        <v>29</v>
      </c>
      <c r="F126" s="22">
        <v>243</v>
      </c>
      <c r="G126" s="22">
        <v>526</v>
      </c>
      <c r="H126" s="55">
        <v>-86.21</v>
      </c>
      <c r="I126" s="55">
        <v>-53.8</v>
      </c>
      <c r="J126" s="55">
        <v>0.02</v>
      </c>
      <c r="K126" s="55">
        <v>0.2</v>
      </c>
      <c r="L126" s="55">
        <v>0.24</v>
      </c>
      <c r="M126" s="55">
        <v>0.5</v>
      </c>
      <c r="N126" s="55"/>
      <c r="O126" s="55"/>
    </row>
    <row r="127" spans="1:15">
      <c r="A127" s="55">
        <v>87</v>
      </c>
      <c r="B127" s="55" t="s">
        <v>375</v>
      </c>
      <c r="C127" s="55" t="s">
        <v>19</v>
      </c>
      <c r="D127" s="22">
        <v>10</v>
      </c>
      <c r="E127" s="22">
        <v>69</v>
      </c>
      <c r="F127" s="22">
        <v>241</v>
      </c>
      <c r="G127" s="22">
        <v>404</v>
      </c>
      <c r="H127" s="55">
        <v>-85.51</v>
      </c>
      <c r="I127" s="55">
        <v>-40.35</v>
      </c>
      <c r="J127" s="55">
        <v>0.06</v>
      </c>
      <c r="K127" s="55">
        <v>0.19</v>
      </c>
      <c r="L127" s="55">
        <v>0.56999999999999995</v>
      </c>
      <c r="M127" s="55">
        <v>0.38</v>
      </c>
      <c r="N127" s="55"/>
      <c r="O127" s="55"/>
    </row>
    <row r="128" spans="1:15">
      <c r="A128" s="55">
        <v>88</v>
      </c>
      <c r="B128" s="55" t="s">
        <v>396</v>
      </c>
      <c r="C128" s="55" t="s">
        <v>19</v>
      </c>
      <c r="D128" s="22">
        <v>2</v>
      </c>
      <c r="E128" s="22">
        <v>53</v>
      </c>
      <c r="F128" s="22">
        <v>238</v>
      </c>
      <c r="G128" s="22">
        <v>458</v>
      </c>
      <c r="H128" s="55">
        <v>-96.23</v>
      </c>
      <c r="I128" s="55">
        <v>-48.03</v>
      </c>
      <c r="J128" s="55">
        <v>0.01</v>
      </c>
      <c r="K128" s="55">
        <v>0.19</v>
      </c>
      <c r="L128" s="55">
        <v>0.44</v>
      </c>
      <c r="M128" s="55">
        <v>0.43</v>
      </c>
      <c r="N128" s="55"/>
      <c r="O128" s="55"/>
    </row>
    <row r="129" spans="1:15">
      <c r="A129" s="55">
        <v>89</v>
      </c>
      <c r="B129" s="55" t="s">
        <v>585</v>
      </c>
      <c r="C129" s="55" t="s">
        <v>19</v>
      </c>
      <c r="D129" s="22">
        <v>80</v>
      </c>
      <c r="E129" s="22">
        <v>5</v>
      </c>
      <c r="F129" s="22">
        <v>227</v>
      </c>
      <c r="G129" s="22">
        <v>1354</v>
      </c>
      <c r="H129" s="55">
        <v>1500</v>
      </c>
      <c r="I129" s="55">
        <v>-83.23</v>
      </c>
      <c r="J129" s="55">
        <v>0.45</v>
      </c>
      <c r="K129" s="55">
        <v>0.18</v>
      </c>
      <c r="L129" s="55">
        <v>0.04</v>
      </c>
      <c r="M129" s="55">
        <v>1.28</v>
      </c>
      <c r="N129" s="55"/>
      <c r="O129" s="55"/>
    </row>
    <row r="130" spans="1:15">
      <c r="A130" s="55">
        <v>90</v>
      </c>
      <c r="B130" s="55" t="s">
        <v>382</v>
      </c>
      <c r="C130" s="55" t="s">
        <v>19</v>
      </c>
      <c r="D130" s="22">
        <v>36</v>
      </c>
      <c r="E130" s="22">
        <v>39</v>
      </c>
      <c r="F130" s="22">
        <v>219</v>
      </c>
      <c r="G130" s="22">
        <v>162</v>
      </c>
      <c r="H130" s="55">
        <v>-7.69</v>
      </c>
      <c r="I130" s="55">
        <v>35.19</v>
      </c>
      <c r="J130" s="55">
        <v>0.2</v>
      </c>
      <c r="K130" s="55">
        <v>0.18</v>
      </c>
      <c r="L130" s="55">
        <v>0.32</v>
      </c>
      <c r="M130" s="55">
        <v>0.15</v>
      </c>
      <c r="N130" s="55"/>
      <c r="O130" s="55"/>
    </row>
    <row r="131" spans="1:15">
      <c r="A131" s="55">
        <v>91</v>
      </c>
      <c r="B131" s="55" t="s">
        <v>496</v>
      </c>
      <c r="C131" s="55" t="s">
        <v>19</v>
      </c>
      <c r="D131" s="22">
        <v>45</v>
      </c>
      <c r="E131" s="22">
        <v>17</v>
      </c>
      <c r="F131" s="22">
        <v>217</v>
      </c>
      <c r="G131" s="22">
        <v>164</v>
      </c>
      <c r="H131" s="55">
        <v>164.71</v>
      </c>
      <c r="I131" s="55">
        <v>32.32</v>
      </c>
      <c r="J131" s="55">
        <v>0.25</v>
      </c>
      <c r="K131" s="55">
        <v>0.17</v>
      </c>
      <c r="L131" s="55">
        <v>0.14000000000000001</v>
      </c>
      <c r="M131" s="55">
        <v>0.16</v>
      </c>
      <c r="N131" s="55"/>
      <c r="O131" s="55"/>
    </row>
    <row r="132" spans="1:15">
      <c r="A132" s="55">
        <v>92</v>
      </c>
      <c r="B132" s="55" t="s">
        <v>431</v>
      </c>
      <c r="C132" s="55" t="s">
        <v>19</v>
      </c>
      <c r="D132" s="22">
        <v>26</v>
      </c>
      <c r="E132" s="22">
        <v>8</v>
      </c>
      <c r="F132" s="22">
        <v>193</v>
      </c>
      <c r="G132" s="22">
        <v>241</v>
      </c>
      <c r="H132" s="55">
        <v>225</v>
      </c>
      <c r="I132" s="55">
        <v>-19.920000000000002</v>
      </c>
      <c r="J132" s="55">
        <v>0.15</v>
      </c>
      <c r="K132" s="55">
        <v>0.16</v>
      </c>
      <c r="L132" s="55">
        <v>7.0000000000000007E-2</v>
      </c>
      <c r="M132" s="55">
        <v>0.23</v>
      </c>
      <c r="N132" s="55"/>
      <c r="O132" s="55"/>
    </row>
    <row r="133" spans="1:15">
      <c r="A133" s="55">
        <v>93</v>
      </c>
      <c r="B133" s="55" t="s">
        <v>413</v>
      </c>
      <c r="C133" s="55" t="s">
        <v>19</v>
      </c>
      <c r="D133" s="22">
        <v>21</v>
      </c>
      <c r="E133" s="22">
        <v>43</v>
      </c>
      <c r="F133" s="22">
        <v>189</v>
      </c>
      <c r="G133" s="22">
        <v>366</v>
      </c>
      <c r="H133" s="55">
        <v>-51.16</v>
      </c>
      <c r="I133" s="55">
        <v>-48.36</v>
      </c>
      <c r="J133" s="55">
        <v>0.12</v>
      </c>
      <c r="K133" s="55">
        <v>0.15</v>
      </c>
      <c r="L133" s="55">
        <v>0.35</v>
      </c>
      <c r="M133" s="55">
        <v>0.35</v>
      </c>
      <c r="N133" s="55"/>
      <c r="O133" s="55"/>
    </row>
    <row r="134" spans="1:15">
      <c r="A134" s="55">
        <v>94</v>
      </c>
      <c r="B134" s="55" t="s">
        <v>1037</v>
      </c>
      <c r="C134" s="55" t="s">
        <v>19</v>
      </c>
      <c r="D134" s="22">
        <v>16</v>
      </c>
      <c r="E134" s="22">
        <v>0</v>
      </c>
      <c r="F134" s="22">
        <v>187</v>
      </c>
      <c r="G134" s="22">
        <v>0</v>
      </c>
      <c r="H134" s="55">
        <v>0</v>
      </c>
      <c r="I134" s="55">
        <v>0</v>
      </c>
      <c r="J134" s="55">
        <v>0.09</v>
      </c>
      <c r="K134" s="55">
        <v>0.15</v>
      </c>
      <c r="L134" s="55">
        <v>0</v>
      </c>
      <c r="M134" s="55">
        <v>0</v>
      </c>
      <c r="N134" s="55"/>
      <c r="O134" s="55"/>
    </row>
    <row r="135" spans="1:15">
      <c r="A135" s="55">
        <v>95</v>
      </c>
      <c r="B135" s="55" t="s">
        <v>1094</v>
      </c>
      <c r="C135" s="55" t="s">
        <v>19</v>
      </c>
      <c r="D135" s="22">
        <v>81</v>
      </c>
      <c r="E135" s="22">
        <v>0</v>
      </c>
      <c r="F135" s="22">
        <v>187</v>
      </c>
      <c r="G135" s="22">
        <v>0</v>
      </c>
      <c r="H135" s="55">
        <v>0</v>
      </c>
      <c r="I135" s="55">
        <v>0</v>
      </c>
      <c r="J135" s="55">
        <v>0.45</v>
      </c>
      <c r="K135" s="55">
        <v>0.15</v>
      </c>
      <c r="L135" s="55">
        <v>0</v>
      </c>
      <c r="M135" s="55">
        <v>0</v>
      </c>
      <c r="N135" s="55"/>
      <c r="O135" s="55"/>
    </row>
    <row r="136" spans="1:15" hidden="1">
      <c r="A136" s="55">
        <v>96</v>
      </c>
      <c r="B136" s="55" t="s">
        <v>397</v>
      </c>
      <c r="C136" s="55" t="s">
        <v>20</v>
      </c>
      <c r="D136" s="22">
        <v>56</v>
      </c>
      <c r="E136" s="22">
        <v>27</v>
      </c>
      <c r="F136" s="22">
        <v>175</v>
      </c>
      <c r="G136" s="22">
        <v>320</v>
      </c>
      <c r="H136" s="55">
        <v>107.41</v>
      </c>
      <c r="I136" s="55">
        <v>-45.31</v>
      </c>
      <c r="J136" s="55">
        <v>0.31</v>
      </c>
      <c r="K136" s="55">
        <v>0.14000000000000001</v>
      </c>
      <c r="L136" s="55">
        <v>0.22</v>
      </c>
      <c r="M136" s="55">
        <v>0.3</v>
      </c>
      <c r="N136" s="55"/>
      <c r="O136" s="55"/>
    </row>
    <row r="137" spans="1:15">
      <c r="A137" s="55">
        <v>97</v>
      </c>
      <c r="B137" s="55" t="s">
        <v>1060</v>
      </c>
      <c r="C137" s="55" t="s">
        <v>19</v>
      </c>
      <c r="D137" s="22">
        <v>49</v>
      </c>
      <c r="E137" s="22">
        <v>0</v>
      </c>
      <c r="F137" s="22">
        <v>162</v>
      </c>
      <c r="G137" s="22">
        <v>0</v>
      </c>
      <c r="H137" s="55">
        <v>0</v>
      </c>
      <c r="I137" s="55">
        <v>0</v>
      </c>
      <c r="J137" s="55">
        <v>0.27</v>
      </c>
      <c r="K137" s="55">
        <v>0.13</v>
      </c>
      <c r="L137" s="55">
        <v>0</v>
      </c>
      <c r="M137" s="55">
        <v>0</v>
      </c>
      <c r="N137" s="55"/>
      <c r="O137" s="55"/>
    </row>
    <row r="138" spans="1:15" hidden="1">
      <c r="A138" s="55">
        <v>98</v>
      </c>
      <c r="B138" s="55" t="s">
        <v>432</v>
      </c>
      <c r="C138" s="55" t="s">
        <v>20</v>
      </c>
      <c r="D138" s="22">
        <v>54</v>
      </c>
      <c r="E138" s="22">
        <v>113</v>
      </c>
      <c r="F138" s="22">
        <v>157</v>
      </c>
      <c r="G138" s="22">
        <v>457</v>
      </c>
      <c r="H138" s="55">
        <v>-52.21</v>
      </c>
      <c r="I138" s="55">
        <v>-65.650000000000006</v>
      </c>
      <c r="J138" s="55">
        <v>0.3</v>
      </c>
      <c r="K138" s="55">
        <v>0.13</v>
      </c>
      <c r="L138" s="55">
        <v>0.93</v>
      </c>
      <c r="M138" s="55">
        <v>0.43</v>
      </c>
      <c r="N138" s="55"/>
      <c r="O138" s="55"/>
    </row>
    <row r="139" spans="1:15">
      <c r="A139" s="55">
        <v>99</v>
      </c>
      <c r="B139" s="55" t="s">
        <v>125</v>
      </c>
      <c r="C139" s="55" t="s">
        <v>19</v>
      </c>
      <c r="D139" s="22">
        <v>15</v>
      </c>
      <c r="E139" s="22">
        <v>6</v>
      </c>
      <c r="F139" s="22">
        <v>154</v>
      </c>
      <c r="G139" s="22">
        <v>53</v>
      </c>
      <c r="H139" s="55">
        <v>150</v>
      </c>
      <c r="I139" s="55">
        <v>190.57</v>
      </c>
      <c r="J139" s="55">
        <v>0.08</v>
      </c>
      <c r="K139" s="55">
        <v>0.12</v>
      </c>
      <c r="L139" s="55">
        <v>0.05</v>
      </c>
      <c r="M139" s="55">
        <v>0.05</v>
      </c>
      <c r="N139" s="55"/>
      <c r="O139" s="55"/>
    </row>
    <row r="140" spans="1:15" hidden="1">
      <c r="A140" s="55">
        <v>100</v>
      </c>
      <c r="B140" s="55" t="s">
        <v>611</v>
      </c>
      <c r="C140" s="55" t="s">
        <v>20</v>
      </c>
      <c r="D140" s="22">
        <v>24</v>
      </c>
      <c r="E140" s="22">
        <v>42</v>
      </c>
      <c r="F140" s="22">
        <v>150</v>
      </c>
      <c r="G140" s="22">
        <v>521</v>
      </c>
      <c r="H140" s="55">
        <v>-42.86</v>
      </c>
      <c r="I140" s="55">
        <v>-71.209999999999994</v>
      </c>
      <c r="J140" s="55">
        <v>0.13</v>
      </c>
      <c r="K140" s="55">
        <v>0.12</v>
      </c>
      <c r="L140" s="55">
        <v>0.35</v>
      </c>
      <c r="M140" s="55">
        <v>0.49</v>
      </c>
      <c r="N140" s="55"/>
      <c r="O140" s="55"/>
    </row>
    <row r="141" spans="1:15">
      <c r="A141" s="55">
        <v>101</v>
      </c>
      <c r="B141" s="55" t="s">
        <v>153</v>
      </c>
      <c r="C141" s="55" t="s">
        <v>19</v>
      </c>
      <c r="D141" s="22">
        <v>17</v>
      </c>
      <c r="E141" s="22">
        <v>35</v>
      </c>
      <c r="F141" s="22">
        <v>142</v>
      </c>
      <c r="G141" s="22">
        <v>365</v>
      </c>
      <c r="H141" s="55">
        <v>-51.43</v>
      </c>
      <c r="I141" s="55">
        <v>-61.1</v>
      </c>
      <c r="J141" s="55">
        <v>0.1</v>
      </c>
      <c r="K141" s="55">
        <v>0.11</v>
      </c>
      <c r="L141" s="55">
        <v>0.28999999999999998</v>
      </c>
      <c r="M141" s="55">
        <v>0.35</v>
      </c>
      <c r="N141" s="55"/>
      <c r="O141" s="55"/>
    </row>
    <row r="142" spans="1:15">
      <c r="A142" s="55">
        <v>102</v>
      </c>
      <c r="B142" s="55" t="s">
        <v>147</v>
      </c>
      <c r="C142" s="55" t="s">
        <v>19</v>
      </c>
      <c r="D142" s="22">
        <v>7</v>
      </c>
      <c r="E142" s="22">
        <v>6</v>
      </c>
      <c r="F142" s="22">
        <v>136</v>
      </c>
      <c r="G142" s="22">
        <v>223</v>
      </c>
      <c r="H142" s="55">
        <v>16.670000000000002</v>
      </c>
      <c r="I142" s="55">
        <v>-39.01</v>
      </c>
      <c r="J142" s="55">
        <v>0.04</v>
      </c>
      <c r="K142" s="55">
        <v>0.11</v>
      </c>
      <c r="L142" s="55">
        <v>0.05</v>
      </c>
      <c r="M142" s="55">
        <v>0.21</v>
      </c>
      <c r="N142" s="55"/>
      <c r="O142" s="55"/>
    </row>
    <row r="143" spans="1:15">
      <c r="A143" s="55">
        <v>103</v>
      </c>
      <c r="B143" s="55" t="s">
        <v>988</v>
      </c>
      <c r="C143" s="55" t="s">
        <v>19</v>
      </c>
      <c r="D143" s="22">
        <v>8</v>
      </c>
      <c r="E143" s="22">
        <v>3</v>
      </c>
      <c r="F143" s="22">
        <v>134</v>
      </c>
      <c r="G143" s="22">
        <v>6</v>
      </c>
      <c r="H143" s="55">
        <v>166.67</v>
      </c>
      <c r="I143" s="55">
        <v>2133.33</v>
      </c>
      <c r="J143" s="55">
        <v>0.04</v>
      </c>
      <c r="K143" s="55">
        <v>0.11</v>
      </c>
      <c r="L143" s="55">
        <v>0.02</v>
      </c>
      <c r="M143" s="55">
        <v>0.01</v>
      </c>
      <c r="N143" s="55"/>
      <c r="O143" s="55"/>
    </row>
    <row r="144" spans="1:15" hidden="1">
      <c r="A144" s="55">
        <v>104</v>
      </c>
      <c r="B144" s="55" t="s">
        <v>707</v>
      </c>
      <c r="C144" s="55" t="s">
        <v>20</v>
      </c>
      <c r="D144" s="22">
        <v>13</v>
      </c>
      <c r="E144" s="22">
        <v>0</v>
      </c>
      <c r="F144" s="22">
        <v>133</v>
      </c>
      <c r="G144" s="22">
        <v>3</v>
      </c>
      <c r="H144" s="55">
        <v>0</v>
      </c>
      <c r="I144" s="55">
        <v>4333.33</v>
      </c>
      <c r="J144" s="55">
        <v>7.0000000000000007E-2</v>
      </c>
      <c r="K144" s="55">
        <v>0.11</v>
      </c>
      <c r="L144" s="55">
        <v>0</v>
      </c>
      <c r="M144" s="55">
        <v>0</v>
      </c>
      <c r="N144" s="55"/>
      <c r="O144" s="55"/>
    </row>
    <row r="145" spans="1:15" hidden="1">
      <c r="A145" s="55">
        <v>105</v>
      </c>
      <c r="B145" s="55" t="s">
        <v>79</v>
      </c>
      <c r="C145" s="55" t="s">
        <v>20</v>
      </c>
      <c r="D145" s="22">
        <v>4</v>
      </c>
      <c r="E145" s="22">
        <v>15</v>
      </c>
      <c r="F145" s="22">
        <v>130</v>
      </c>
      <c r="G145" s="22">
        <v>515</v>
      </c>
      <c r="H145" s="55">
        <v>-73.33</v>
      </c>
      <c r="I145" s="55">
        <v>-74.760000000000005</v>
      </c>
      <c r="J145" s="55">
        <v>0.02</v>
      </c>
      <c r="K145" s="55">
        <v>0.1</v>
      </c>
      <c r="L145" s="55">
        <v>0.12</v>
      </c>
      <c r="M145" s="55">
        <v>0.49</v>
      </c>
      <c r="N145" s="55"/>
      <c r="O145" s="55"/>
    </row>
    <row r="146" spans="1:15" hidden="1">
      <c r="A146" s="55">
        <v>228</v>
      </c>
      <c r="B146" s="55" t="s">
        <v>436</v>
      </c>
      <c r="C146" s="55" t="s">
        <v>20</v>
      </c>
      <c r="D146" s="22">
        <v>28</v>
      </c>
      <c r="E146" s="22">
        <v>19</v>
      </c>
      <c r="F146" s="22">
        <v>129</v>
      </c>
      <c r="G146" s="22">
        <v>123</v>
      </c>
      <c r="H146" s="55">
        <v>47.37</v>
      </c>
      <c r="I146" s="55">
        <v>4.88</v>
      </c>
      <c r="J146" s="55">
        <v>0.16</v>
      </c>
      <c r="K146" s="55">
        <v>0.1</v>
      </c>
      <c r="L146" s="55">
        <v>0.16</v>
      </c>
      <c r="M146" s="55">
        <v>0.12</v>
      </c>
      <c r="N146" s="55"/>
      <c r="O146" s="55"/>
    </row>
    <row r="147" spans="1:15">
      <c r="A147" s="55">
        <v>106</v>
      </c>
      <c r="B147" s="55" t="s">
        <v>1091</v>
      </c>
      <c r="C147" s="55" t="s">
        <v>19</v>
      </c>
      <c r="D147" s="22">
        <v>6</v>
      </c>
      <c r="E147" s="22">
        <v>0</v>
      </c>
      <c r="F147" s="22">
        <v>128</v>
      </c>
      <c r="G147" s="22">
        <v>0</v>
      </c>
      <c r="H147" s="55">
        <v>0</v>
      </c>
      <c r="I147" s="55">
        <v>0</v>
      </c>
      <c r="J147" s="55">
        <v>0.03</v>
      </c>
      <c r="K147" s="55">
        <v>0.1</v>
      </c>
      <c r="L147" s="55">
        <v>0</v>
      </c>
      <c r="M147" s="55">
        <v>0</v>
      </c>
      <c r="N147" s="55"/>
      <c r="O147" s="55"/>
    </row>
    <row r="148" spans="1:15">
      <c r="A148" s="55">
        <v>107</v>
      </c>
      <c r="B148" s="55" t="s">
        <v>235</v>
      </c>
      <c r="C148" s="55" t="s">
        <v>19</v>
      </c>
      <c r="D148" s="22">
        <v>14</v>
      </c>
      <c r="E148" s="22">
        <v>12</v>
      </c>
      <c r="F148" s="22">
        <v>124</v>
      </c>
      <c r="G148" s="22">
        <v>106</v>
      </c>
      <c r="H148" s="55">
        <v>16.670000000000002</v>
      </c>
      <c r="I148" s="55">
        <v>16.98</v>
      </c>
      <c r="J148" s="55">
        <v>0.08</v>
      </c>
      <c r="K148" s="55">
        <v>0.1</v>
      </c>
      <c r="L148" s="55">
        <v>0.1</v>
      </c>
      <c r="M148" s="55">
        <v>0.1</v>
      </c>
      <c r="N148" s="55"/>
      <c r="O148" s="55"/>
    </row>
    <row r="149" spans="1:15">
      <c r="A149" s="55">
        <v>108</v>
      </c>
      <c r="B149" s="55" t="s">
        <v>1034</v>
      </c>
      <c r="C149" s="55" t="s">
        <v>19</v>
      </c>
      <c r="D149" s="22">
        <v>0</v>
      </c>
      <c r="E149" s="22">
        <v>0</v>
      </c>
      <c r="F149" s="22">
        <v>122</v>
      </c>
      <c r="G149" s="22">
        <v>0</v>
      </c>
      <c r="H149" s="55">
        <v>0</v>
      </c>
      <c r="I149" s="55">
        <v>0</v>
      </c>
      <c r="J149" s="55">
        <v>0</v>
      </c>
      <c r="K149" s="55">
        <v>0.1</v>
      </c>
      <c r="L149" s="55">
        <v>0</v>
      </c>
      <c r="M149" s="55">
        <v>0</v>
      </c>
      <c r="N149" s="55"/>
      <c r="O149" s="55"/>
    </row>
    <row r="150" spans="1:15">
      <c r="A150" s="55">
        <v>109</v>
      </c>
      <c r="B150" s="55" t="s">
        <v>70</v>
      </c>
      <c r="C150" s="55" t="s">
        <v>19</v>
      </c>
      <c r="D150" s="22">
        <v>8</v>
      </c>
      <c r="E150" s="22">
        <v>53</v>
      </c>
      <c r="F150" s="22">
        <v>120</v>
      </c>
      <c r="G150" s="22">
        <v>863</v>
      </c>
      <c r="H150" s="55">
        <v>-84.91</v>
      </c>
      <c r="I150" s="55">
        <v>-86.1</v>
      </c>
      <c r="J150" s="55">
        <v>0.04</v>
      </c>
      <c r="K150" s="55">
        <v>0.1</v>
      </c>
      <c r="L150" s="55">
        <v>0.44</v>
      </c>
      <c r="M150" s="55">
        <v>0.82</v>
      </c>
      <c r="N150" s="55"/>
      <c r="O150" s="55"/>
    </row>
    <row r="151" spans="1:15">
      <c r="A151" s="55">
        <v>110</v>
      </c>
      <c r="B151" s="55" t="s">
        <v>491</v>
      </c>
      <c r="C151" s="55" t="s">
        <v>19</v>
      </c>
      <c r="D151" s="22">
        <v>19</v>
      </c>
      <c r="E151" s="22">
        <v>4</v>
      </c>
      <c r="F151" s="22">
        <v>115</v>
      </c>
      <c r="G151" s="22">
        <v>103</v>
      </c>
      <c r="H151" s="55">
        <v>375</v>
      </c>
      <c r="I151" s="55">
        <v>11.65</v>
      </c>
      <c r="J151" s="55">
        <v>0.11</v>
      </c>
      <c r="K151" s="55">
        <v>0.09</v>
      </c>
      <c r="L151" s="55">
        <v>0.03</v>
      </c>
      <c r="M151" s="55">
        <v>0.1</v>
      </c>
      <c r="N151" s="55"/>
      <c r="O151" s="55"/>
    </row>
    <row r="152" spans="1:15">
      <c r="A152" s="55">
        <v>111</v>
      </c>
      <c r="B152" s="55" t="s">
        <v>412</v>
      </c>
      <c r="C152" s="55" t="s">
        <v>19</v>
      </c>
      <c r="D152" s="22">
        <v>0</v>
      </c>
      <c r="E152" s="22">
        <v>27</v>
      </c>
      <c r="F152" s="22">
        <v>110</v>
      </c>
      <c r="G152" s="22">
        <v>158</v>
      </c>
      <c r="H152" s="55">
        <v>-100</v>
      </c>
      <c r="I152" s="55">
        <v>-30.38</v>
      </c>
      <c r="J152" s="55">
        <v>0</v>
      </c>
      <c r="K152" s="55">
        <v>0.09</v>
      </c>
      <c r="L152" s="55">
        <v>0.22</v>
      </c>
      <c r="M152" s="55">
        <v>0.15</v>
      </c>
      <c r="N152" s="55"/>
      <c r="O152" s="55"/>
    </row>
    <row r="153" spans="1:15" hidden="1">
      <c r="A153" s="55">
        <v>112</v>
      </c>
      <c r="B153" s="55" t="s">
        <v>1056</v>
      </c>
      <c r="C153" s="55" t="s">
        <v>20</v>
      </c>
      <c r="D153" s="22">
        <v>2</v>
      </c>
      <c r="E153" s="22">
        <v>0</v>
      </c>
      <c r="F153" s="22">
        <v>105</v>
      </c>
      <c r="G153" s="22">
        <v>0</v>
      </c>
      <c r="H153" s="62">
        <v>0</v>
      </c>
      <c r="I153" s="62">
        <v>0</v>
      </c>
      <c r="J153" s="55">
        <v>0.01</v>
      </c>
      <c r="K153" s="55">
        <v>0.08</v>
      </c>
      <c r="L153" s="55">
        <v>0</v>
      </c>
      <c r="M153" s="55">
        <v>0</v>
      </c>
      <c r="N153" s="55"/>
      <c r="O153" s="55"/>
    </row>
    <row r="154" spans="1:15">
      <c r="A154" s="55">
        <v>113</v>
      </c>
      <c r="B154" s="55" t="s">
        <v>409</v>
      </c>
      <c r="C154" s="55" t="s">
        <v>19</v>
      </c>
      <c r="D154" s="22">
        <v>2</v>
      </c>
      <c r="E154" s="22">
        <v>37</v>
      </c>
      <c r="F154" s="22">
        <v>100</v>
      </c>
      <c r="G154" s="22">
        <v>438</v>
      </c>
      <c r="H154" s="55">
        <v>-94.59</v>
      </c>
      <c r="I154" s="55">
        <v>-77.17</v>
      </c>
      <c r="J154" s="55">
        <v>0.01</v>
      </c>
      <c r="K154" s="55">
        <v>0.08</v>
      </c>
      <c r="L154" s="55">
        <v>0.3</v>
      </c>
      <c r="M154" s="55">
        <v>0.42</v>
      </c>
      <c r="N154" s="55"/>
      <c r="O154" s="55"/>
    </row>
    <row r="155" spans="1:15" hidden="1">
      <c r="A155" s="55">
        <v>114</v>
      </c>
      <c r="B155" s="55" t="s">
        <v>1134</v>
      </c>
      <c r="C155" s="55" t="s">
        <v>20</v>
      </c>
      <c r="D155" s="22">
        <v>14</v>
      </c>
      <c r="E155" s="22">
        <v>0</v>
      </c>
      <c r="F155" s="22">
        <v>100</v>
      </c>
      <c r="G155" s="22">
        <v>0</v>
      </c>
      <c r="H155" s="55">
        <v>0</v>
      </c>
      <c r="I155" s="55">
        <v>0</v>
      </c>
      <c r="J155" s="55">
        <v>0.08</v>
      </c>
      <c r="K155" s="55">
        <v>0.08</v>
      </c>
      <c r="L155" s="55">
        <v>0</v>
      </c>
      <c r="M155" s="55">
        <v>0</v>
      </c>
      <c r="N155" s="55"/>
      <c r="O155" s="55"/>
    </row>
    <row r="156" spans="1:15" hidden="1">
      <c r="A156" s="55">
        <v>115</v>
      </c>
      <c r="B156" s="55" t="s">
        <v>982</v>
      </c>
      <c r="C156" s="55" t="s">
        <v>20</v>
      </c>
      <c r="D156" s="22">
        <v>6</v>
      </c>
      <c r="E156" s="22">
        <v>2</v>
      </c>
      <c r="F156" s="22">
        <v>99</v>
      </c>
      <c r="G156" s="22">
        <v>14</v>
      </c>
      <c r="H156" s="55">
        <v>200</v>
      </c>
      <c r="I156" s="55">
        <v>607.14</v>
      </c>
      <c r="J156" s="55">
        <v>0.03</v>
      </c>
      <c r="K156" s="55">
        <v>0.08</v>
      </c>
      <c r="L156" s="55">
        <v>0.02</v>
      </c>
      <c r="M156" s="55">
        <v>0.01</v>
      </c>
      <c r="N156" s="55"/>
      <c r="O156" s="55"/>
    </row>
    <row r="157" spans="1:15">
      <c r="A157" s="55">
        <v>116</v>
      </c>
      <c r="B157" s="55" t="s">
        <v>1055</v>
      </c>
      <c r="C157" s="55" t="s">
        <v>19</v>
      </c>
      <c r="D157" s="22">
        <v>37</v>
      </c>
      <c r="E157" s="22">
        <v>0</v>
      </c>
      <c r="F157" s="22">
        <v>98</v>
      </c>
      <c r="G157" s="22">
        <v>0</v>
      </c>
      <c r="H157" s="55">
        <v>0</v>
      </c>
      <c r="I157" s="55">
        <v>0</v>
      </c>
      <c r="J157" s="55">
        <v>0.21</v>
      </c>
      <c r="K157" s="55">
        <v>0.08</v>
      </c>
      <c r="L157" s="55">
        <v>0</v>
      </c>
      <c r="M157" s="55">
        <v>0</v>
      </c>
      <c r="N157" s="55"/>
      <c r="O157" s="55"/>
    </row>
    <row r="158" spans="1:15">
      <c r="A158" s="55">
        <v>117</v>
      </c>
      <c r="B158" s="55" t="s">
        <v>1149</v>
      </c>
      <c r="C158" s="55" t="s">
        <v>19</v>
      </c>
      <c r="D158" s="22">
        <v>14</v>
      </c>
      <c r="E158" s="22">
        <v>0</v>
      </c>
      <c r="F158" s="22">
        <v>89</v>
      </c>
      <c r="G158" s="22">
        <v>0</v>
      </c>
      <c r="H158" s="55">
        <v>0</v>
      </c>
      <c r="I158" s="55">
        <v>0</v>
      </c>
      <c r="J158" s="55">
        <v>0.08</v>
      </c>
      <c r="K158" s="55">
        <v>7.0000000000000007E-2</v>
      </c>
      <c r="L158" s="55">
        <v>0</v>
      </c>
      <c r="M158" s="55">
        <v>0</v>
      </c>
      <c r="N158" s="55"/>
      <c r="O158" s="55"/>
    </row>
    <row r="159" spans="1:15" hidden="1">
      <c r="A159" s="55">
        <v>118</v>
      </c>
      <c r="B159" s="55" t="s">
        <v>638</v>
      </c>
      <c r="C159" s="55" t="s">
        <v>20</v>
      </c>
      <c r="D159" s="22">
        <v>1</v>
      </c>
      <c r="E159" s="22">
        <v>166</v>
      </c>
      <c r="F159" s="22">
        <v>87</v>
      </c>
      <c r="G159" s="22">
        <v>1114</v>
      </c>
      <c r="H159" s="55">
        <v>-99.4</v>
      </c>
      <c r="I159" s="55">
        <v>-92.19</v>
      </c>
      <c r="J159" s="55">
        <v>0.01</v>
      </c>
      <c r="K159" s="55">
        <v>7.0000000000000007E-2</v>
      </c>
      <c r="L159" s="55">
        <v>1.37</v>
      </c>
      <c r="M159" s="55">
        <v>1.06</v>
      </c>
      <c r="N159" s="55"/>
      <c r="O159" s="55"/>
    </row>
    <row r="160" spans="1:15">
      <c r="A160" s="55">
        <v>119</v>
      </c>
      <c r="B160" s="55" t="s">
        <v>418</v>
      </c>
      <c r="C160" s="55" t="s">
        <v>19</v>
      </c>
      <c r="D160" s="22">
        <v>2</v>
      </c>
      <c r="E160" s="22">
        <v>9</v>
      </c>
      <c r="F160" s="22">
        <v>86</v>
      </c>
      <c r="G160" s="22">
        <v>208</v>
      </c>
      <c r="H160" s="55">
        <v>-77.78</v>
      </c>
      <c r="I160" s="55">
        <v>-58.65</v>
      </c>
      <c r="J160" s="55">
        <v>0.01</v>
      </c>
      <c r="K160" s="55">
        <v>7.0000000000000007E-2</v>
      </c>
      <c r="L160" s="55">
        <v>7.0000000000000007E-2</v>
      </c>
      <c r="M160" s="55">
        <v>0.2</v>
      </c>
      <c r="N160" s="55"/>
      <c r="O160" s="55"/>
    </row>
    <row r="161" spans="1:15">
      <c r="A161" s="55">
        <v>120</v>
      </c>
      <c r="B161" s="55" t="s">
        <v>594</v>
      </c>
      <c r="C161" s="55" t="s">
        <v>19</v>
      </c>
      <c r="D161" s="22">
        <v>17</v>
      </c>
      <c r="E161" s="22">
        <v>3</v>
      </c>
      <c r="F161" s="22">
        <v>82</v>
      </c>
      <c r="G161" s="22">
        <v>158</v>
      </c>
      <c r="H161" s="55">
        <v>466.67</v>
      </c>
      <c r="I161" s="55">
        <v>-48.1</v>
      </c>
      <c r="J161" s="55">
        <v>0.1</v>
      </c>
      <c r="K161" s="55">
        <v>7.0000000000000007E-2</v>
      </c>
      <c r="L161" s="55">
        <v>0.02</v>
      </c>
      <c r="M161" s="55">
        <v>0.15</v>
      </c>
      <c r="N161" s="55"/>
      <c r="O161" s="55"/>
    </row>
    <row r="162" spans="1:15">
      <c r="A162" s="55">
        <v>121</v>
      </c>
      <c r="B162" s="55" t="s">
        <v>646</v>
      </c>
      <c r="C162" s="55" t="s">
        <v>19</v>
      </c>
      <c r="D162" s="22">
        <v>0</v>
      </c>
      <c r="E162" s="22">
        <v>8</v>
      </c>
      <c r="F162" s="22">
        <v>82</v>
      </c>
      <c r="G162" s="22">
        <v>99</v>
      </c>
      <c r="H162" s="55">
        <v>-100</v>
      </c>
      <c r="I162" s="55">
        <v>-17.170000000000002</v>
      </c>
      <c r="J162" s="55">
        <v>0</v>
      </c>
      <c r="K162" s="55">
        <v>7.0000000000000007E-2</v>
      </c>
      <c r="L162" s="55">
        <v>7.0000000000000007E-2</v>
      </c>
      <c r="M162" s="55">
        <v>0.09</v>
      </c>
      <c r="N162" s="55"/>
      <c r="O162" s="55"/>
    </row>
    <row r="163" spans="1:15">
      <c r="A163" s="55">
        <v>122</v>
      </c>
      <c r="B163" s="55" t="s">
        <v>490</v>
      </c>
      <c r="C163" s="55" t="s">
        <v>19</v>
      </c>
      <c r="D163" s="22">
        <v>12</v>
      </c>
      <c r="E163" s="22">
        <v>0</v>
      </c>
      <c r="F163" s="22">
        <v>82</v>
      </c>
      <c r="G163" s="22">
        <v>43</v>
      </c>
      <c r="H163" s="55">
        <v>0</v>
      </c>
      <c r="I163" s="55">
        <v>90.7</v>
      </c>
      <c r="J163" s="55">
        <v>7.0000000000000007E-2</v>
      </c>
      <c r="K163" s="55">
        <v>7.0000000000000007E-2</v>
      </c>
      <c r="L163" s="55">
        <v>0</v>
      </c>
      <c r="M163" s="55">
        <v>0.04</v>
      </c>
      <c r="N163" s="55"/>
      <c r="O163" s="55"/>
    </row>
    <row r="164" spans="1:15" hidden="1">
      <c r="A164" s="55">
        <v>123</v>
      </c>
      <c r="B164" s="55" t="s">
        <v>660</v>
      </c>
      <c r="C164" s="55" t="s">
        <v>20</v>
      </c>
      <c r="D164" s="22">
        <v>5</v>
      </c>
      <c r="E164" s="22">
        <v>22</v>
      </c>
      <c r="F164" s="22">
        <v>79</v>
      </c>
      <c r="G164" s="22">
        <v>208</v>
      </c>
      <c r="H164" s="55">
        <v>-77.27</v>
      </c>
      <c r="I164" s="55">
        <v>-62.02</v>
      </c>
      <c r="J164" s="55">
        <v>0.03</v>
      </c>
      <c r="K164" s="55">
        <v>0.06</v>
      </c>
      <c r="L164" s="55">
        <v>0.18</v>
      </c>
      <c r="M164" s="55">
        <v>0.2</v>
      </c>
      <c r="N164" s="55"/>
      <c r="O164" s="55"/>
    </row>
    <row r="165" spans="1:15" hidden="1">
      <c r="A165" s="55">
        <v>124</v>
      </c>
      <c r="B165" s="55" t="s">
        <v>1059</v>
      </c>
      <c r="C165" s="55" t="s">
        <v>20</v>
      </c>
      <c r="D165" s="22">
        <v>5</v>
      </c>
      <c r="E165" s="22">
        <v>0</v>
      </c>
      <c r="F165" s="22">
        <v>75</v>
      </c>
      <c r="G165" s="22">
        <v>0</v>
      </c>
      <c r="H165" s="55">
        <v>0</v>
      </c>
      <c r="I165" s="55">
        <v>0</v>
      </c>
      <c r="J165" s="55">
        <v>0.03</v>
      </c>
      <c r="K165" s="55">
        <v>0.06</v>
      </c>
      <c r="L165" s="55">
        <v>0</v>
      </c>
      <c r="M165" s="55">
        <v>0</v>
      </c>
      <c r="N165" s="55"/>
      <c r="O165" s="55"/>
    </row>
    <row r="166" spans="1:15" hidden="1">
      <c r="A166" s="55">
        <v>125</v>
      </c>
      <c r="B166" s="55" t="s">
        <v>1038</v>
      </c>
      <c r="C166" s="55" t="s">
        <v>20</v>
      </c>
      <c r="D166" s="22">
        <v>5</v>
      </c>
      <c r="E166" s="22">
        <v>0</v>
      </c>
      <c r="F166" s="22">
        <v>74</v>
      </c>
      <c r="G166" s="22">
        <v>0</v>
      </c>
      <c r="H166" s="55">
        <v>0</v>
      </c>
      <c r="I166" s="55">
        <v>0</v>
      </c>
      <c r="J166" s="55">
        <v>0.03</v>
      </c>
      <c r="K166" s="55">
        <v>0.06</v>
      </c>
      <c r="L166" s="55">
        <v>0</v>
      </c>
      <c r="M166" s="55">
        <v>0</v>
      </c>
      <c r="N166" s="55"/>
      <c r="O166" s="55"/>
    </row>
    <row r="167" spans="1:15">
      <c r="A167" s="55">
        <v>126</v>
      </c>
      <c r="B167" s="55" t="s">
        <v>596</v>
      </c>
      <c r="C167" s="55" t="s">
        <v>19</v>
      </c>
      <c r="D167" s="22">
        <v>5</v>
      </c>
      <c r="E167" s="22">
        <v>1</v>
      </c>
      <c r="F167" s="22">
        <v>73</v>
      </c>
      <c r="G167" s="22">
        <v>70</v>
      </c>
      <c r="H167" s="55">
        <v>400</v>
      </c>
      <c r="I167" s="55">
        <v>4.29</v>
      </c>
      <c r="J167" s="55">
        <v>0.03</v>
      </c>
      <c r="K167" s="55">
        <v>0.06</v>
      </c>
      <c r="L167" s="55">
        <v>0.01</v>
      </c>
      <c r="M167" s="55">
        <v>7.0000000000000007E-2</v>
      </c>
      <c r="N167" s="55"/>
      <c r="O167" s="55"/>
    </row>
    <row r="168" spans="1:15" hidden="1">
      <c r="A168" s="55">
        <v>127</v>
      </c>
      <c r="B168" s="55" t="s">
        <v>1092</v>
      </c>
      <c r="C168" s="55" t="s">
        <v>20</v>
      </c>
      <c r="D168" s="22">
        <v>21</v>
      </c>
      <c r="E168" s="22">
        <v>4</v>
      </c>
      <c r="F168" s="22">
        <v>69</v>
      </c>
      <c r="G168" s="22">
        <v>45</v>
      </c>
      <c r="H168" s="55">
        <v>425</v>
      </c>
      <c r="I168" s="55">
        <v>53.33</v>
      </c>
      <c r="J168" s="55">
        <v>0.12</v>
      </c>
      <c r="K168" s="55">
        <v>0.06</v>
      </c>
      <c r="L168" s="55">
        <v>0.03</v>
      </c>
      <c r="M168" s="55">
        <v>0.04</v>
      </c>
      <c r="N168" s="55"/>
      <c r="O168" s="55"/>
    </row>
    <row r="169" spans="1:15">
      <c r="A169" s="55">
        <v>128</v>
      </c>
      <c r="B169" s="55" t="s">
        <v>238</v>
      </c>
      <c r="C169" s="55" t="s">
        <v>19</v>
      </c>
      <c r="D169" s="22">
        <v>0</v>
      </c>
      <c r="E169" s="22">
        <v>1</v>
      </c>
      <c r="F169" s="22">
        <v>68</v>
      </c>
      <c r="G169" s="22">
        <v>30</v>
      </c>
      <c r="H169" s="55">
        <v>-100</v>
      </c>
      <c r="I169" s="55">
        <v>126.67</v>
      </c>
      <c r="J169" s="55">
        <v>0</v>
      </c>
      <c r="K169" s="55">
        <v>0.05</v>
      </c>
      <c r="L169" s="55">
        <v>0.01</v>
      </c>
      <c r="M169" s="55">
        <v>0.03</v>
      </c>
      <c r="N169" s="55"/>
      <c r="O169" s="55"/>
    </row>
    <row r="170" spans="1:15" hidden="1">
      <c r="A170" s="55">
        <v>129</v>
      </c>
      <c r="B170" s="55" t="s">
        <v>653</v>
      </c>
      <c r="C170" s="55" t="s">
        <v>20</v>
      </c>
      <c r="D170" s="22">
        <v>9</v>
      </c>
      <c r="E170" s="22">
        <v>7</v>
      </c>
      <c r="F170" s="22">
        <v>65</v>
      </c>
      <c r="G170" s="22">
        <v>80</v>
      </c>
      <c r="H170" s="55">
        <v>28.57</v>
      </c>
      <c r="I170" s="55">
        <v>-18.75</v>
      </c>
      <c r="J170" s="55">
        <v>0.05</v>
      </c>
      <c r="K170" s="55">
        <v>0.05</v>
      </c>
      <c r="L170" s="55">
        <v>0.06</v>
      </c>
      <c r="M170" s="55">
        <v>0.08</v>
      </c>
      <c r="N170" s="55"/>
      <c r="O170" s="55"/>
    </row>
    <row r="171" spans="1:15">
      <c r="A171" s="55">
        <v>130</v>
      </c>
      <c r="B171" s="55" t="s">
        <v>1078</v>
      </c>
      <c r="C171" s="55" t="s">
        <v>19</v>
      </c>
      <c r="D171" s="22">
        <v>19</v>
      </c>
      <c r="E171" s="22">
        <v>0</v>
      </c>
      <c r="F171" s="22">
        <v>65</v>
      </c>
      <c r="G171" s="22">
        <v>0</v>
      </c>
      <c r="H171" s="55">
        <v>0</v>
      </c>
      <c r="I171" s="55">
        <v>0</v>
      </c>
      <c r="J171" s="55">
        <v>0.11</v>
      </c>
      <c r="K171" s="55">
        <v>0.05</v>
      </c>
      <c r="L171" s="55">
        <v>0</v>
      </c>
      <c r="M171" s="55">
        <v>0</v>
      </c>
      <c r="N171" s="55"/>
      <c r="O171" s="55"/>
    </row>
    <row r="172" spans="1:15" hidden="1">
      <c r="A172" s="55">
        <v>131</v>
      </c>
      <c r="B172" s="55" t="s">
        <v>1011</v>
      </c>
      <c r="C172" s="55" t="s">
        <v>20</v>
      </c>
      <c r="D172" s="22">
        <v>1</v>
      </c>
      <c r="E172" s="22">
        <v>0</v>
      </c>
      <c r="F172" s="22">
        <v>64</v>
      </c>
      <c r="G172" s="22">
        <v>0</v>
      </c>
      <c r="H172" s="55">
        <v>0</v>
      </c>
      <c r="I172" s="55">
        <v>0</v>
      </c>
      <c r="J172" s="55">
        <v>0.01</v>
      </c>
      <c r="K172" s="55">
        <v>0.05</v>
      </c>
      <c r="L172" s="55">
        <v>0</v>
      </c>
      <c r="M172" s="55">
        <v>0</v>
      </c>
      <c r="N172" s="55"/>
      <c r="O172" s="55"/>
    </row>
    <row r="173" spans="1:15" hidden="1">
      <c r="A173" s="55">
        <v>132</v>
      </c>
      <c r="B173" s="55" t="s">
        <v>1156</v>
      </c>
      <c r="C173" s="55" t="s">
        <v>20</v>
      </c>
      <c r="D173" s="22">
        <v>4</v>
      </c>
      <c r="E173" s="22">
        <v>0</v>
      </c>
      <c r="F173" s="22">
        <v>62</v>
      </c>
      <c r="G173" s="22">
        <v>0</v>
      </c>
      <c r="H173" s="55">
        <v>0</v>
      </c>
      <c r="I173" s="55">
        <v>0</v>
      </c>
      <c r="J173" s="55">
        <v>0.02</v>
      </c>
      <c r="K173" s="55">
        <v>0.05</v>
      </c>
      <c r="L173" s="55">
        <v>0</v>
      </c>
      <c r="M173" s="55">
        <v>0</v>
      </c>
      <c r="N173" s="55"/>
      <c r="O173" s="55"/>
    </row>
    <row r="174" spans="1:15">
      <c r="A174" s="55">
        <v>133</v>
      </c>
      <c r="B174" s="55" t="s">
        <v>427</v>
      </c>
      <c r="C174" s="55" t="s">
        <v>19</v>
      </c>
      <c r="D174" s="22">
        <v>4</v>
      </c>
      <c r="E174" s="22">
        <v>3</v>
      </c>
      <c r="F174" s="22">
        <v>61</v>
      </c>
      <c r="G174" s="22">
        <v>73</v>
      </c>
      <c r="H174" s="55">
        <v>33.33</v>
      </c>
      <c r="I174" s="55">
        <v>-16.440000000000001</v>
      </c>
      <c r="J174" s="55">
        <v>0.02</v>
      </c>
      <c r="K174" s="55">
        <v>0.05</v>
      </c>
      <c r="L174" s="55">
        <v>0.02</v>
      </c>
      <c r="M174" s="55">
        <v>7.0000000000000007E-2</v>
      </c>
      <c r="N174" s="55"/>
      <c r="O174" s="55"/>
    </row>
    <row r="175" spans="1:15" hidden="1">
      <c r="A175" s="55">
        <v>134</v>
      </c>
      <c r="B175" s="55" t="s">
        <v>1079</v>
      </c>
      <c r="C175" s="55" t="s">
        <v>20</v>
      </c>
      <c r="D175" s="22">
        <v>8</v>
      </c>
      <c r="E175" s="22">
        <v>0</v>
      </c>
      <c r="F175" s="22">
        <v>58</v>
      </c>
      <c r="G175" s="22">
        <v>0</v>
      </c>
      <c r="H175" s="55">
        <v>0</v>
      </c>
      <c r="I175" s="55">
        <v>0</v>
      </c>
      <c r="J175" s="55">
        <v>0.04</v>
      </c>
      <c r="K175" s="55">
        <v>0.05</v>
      </c>
      <c r="L175" s="55">
        <v>0</v>
      </c>
      <c r="M175" s="55">
        <v>0</v>
      </c>
      <c r="N175" s="55"/>
      <c r="O175" s="55"/>
    </row>
    <row r="176" spans="1:15" hidden="1">
      <c r="A176" s="55">
        <v>135</v>
      </c>
      <c r="B176" s="55" t="s">
        <v>573</v>
      </c>
      <c r="C176" s="55" t="s">
        <v>20</v>
      </c>
      <c r="D176" s="22">
        <v>24</v>
      </c>
      <c r="E176" s="22">
        <v>0</v>
      </c>
      <c r="F176" s="22">
        <v>57</v>
      </c>
      <c r="G176" s="22">
        <v>27</v>
      </c>
      <c r="H176" s="62">
        <v>0</v>
      </c>
      <c r="I176" s="62">
        <v>111.11</v>
      </c>
      <c r="J176" s="55">
        <v>0.13</v>
      </c>
      <c r="K176" s="55">
        <v>0.05</v>
      </c>
      <c r="L176" s="55">
        <v>0</v>
      </c>
      <c r="M176" s="55">
        <v>0.03</v>
      </c>
      <c r="N176" s="55"/>
      <c r="O176" s="55"/>
    </row>
    <row r="177" spans="1:15" hidden="1">
      <c r="A177" s="55">
        <v>136</v>
      </c>
      <c r="B177" s="55" t="s">
        <v>1024</v>
      </c>
      <c r="C177" s="55" t="s">
        <v>20</v>
      </c>
      <c r="D177" s="22">
        <v>1</v>
      </c>
      <c r="E177" s="22">
        <v>0</v>
      </c>
      <c r="F177" s="22">
        <v>57</v>
      </c>
      <c r="G177" s="22">
        <v>0</v>
      </c>
      <c r="H177" s="55">
        <v>0</v>
      </c>
      <c r="I177" s="55">
        <v>0</v>
      </c>
      <c r="J177" s="55">
        <v>0.01</v>
      </c>
      <c r="K177" s="55">
        <v>0.05</v>
      </c>
      <c r="L177" s="55">
        <v>0</v>
      </c>
      <c r="M177" s="55">
        <v>0</v>
      </c>
      <c r="N177" s="55"/>
      <c r="O177" s="55"/>
    </row>
    <row r="178" spans="1:15">
      <c r="A178" s="55">
        <v>137</v>
      </c>
      <c r="B178" s="55" t="s">
        <v>428</v>
      </c>
      <c r="C178" s="55" t="s">
        <v>19</v>
      </c>
      <c r="D178" s="22">
        <v>9</v>
      </c>
      <c r="E178" s="22">
        <v>4</v>
      </c>
      <c r="F178" s="22">
        <v>56</v>
      </c>
      <c r="G178" s="22">
        <v>67</v>
      </c>
      <c r="H178" s="55">
        <v>125</v>
      </c>
      <c r="I178" s="55">
        <v>-16.420000000000002</v>
      </c>
      <c r="J178" s="55">
        <v>0.05</v>
      </c>
      <c r="K178" s="55">
        <v>0.05</v>
      </c>
      <c r="L178" s="55">
        <v>0.03</v>
      </c>
      <c r="M178" s="55">
        <v>0.06</v>
      </c>
      <c r="N178" s="55"/>
      <c r="O178" s="55"/>
    </row>
    <row r="179" spans="1:15">
      <c r="A179" s="55">
        <v>138</v>
      </c>
      <c r="B179" s="55" t="s">
        <v>1130</v>
      </c>
      <c r="C179" s="55" t="s">
        <v>19</v>
      </c>
      <c r="D179" s="22">
        <v>2</v>
      </c>
      <c r="E179" s="22">
        <v>0</v>
      </c>
      <c r="F179" s="22">
        <v>52</v>
      </c>
      <c r="G179" s="22">
        <v>0</v>
      </c>
      <c r="H179" s="62">
        <v>0</v>
      </c>
      <c r="I179" s="62">
        <v>0</v>
      </c>
      <c r="J179" s="55">
        <v>0.01</v>
      </c>
      <c r="K179" s="55">
        <v>0.04</v>
      </c>
      <c r="L179" s="55">
        <v>0</v>
      </c>
      <c r="M179" s="55">
        <v>0</v>
      </c>
      <c r="N179" s="55"/>
      <c r="O179" s="55"/>
    </row>
    <row r="180" spans="1:15">
      <c r="A180" s="55">
        <v>139</v>
      </c>
      <c r="B180" s="55" t="s">
        <v>550</v>
      </c>
      <c r="C180" s="55" t="s">
        <v>19</v>
      </c>
      <c r="D180" s="22">
        <v>1</v>
      </c>
      <c r="E180" s="22">
        <v>8</v>
      </c>
      <c r="F180" s="22">
        <v>51</v>
      </c>
      <c r="G180" s="22">
        <v>125</v>
      </c>
      <c r="H180" s="55">
        <v>-87.5</v>
      </c>
      <c r="I180" s="55">
        <v>-59.2</v>
      </c>
      <c r="J180" s="55">
        <v>0.01</v>
      </c>
      <c r="K180" s="55">
        <v>0.04</v>
      </c>
      <c r="L180" s="55">
        <v>7.0000000000000007E-2</v>
      </c>
      <c r="M180" s="55">
        <v>0.12</v>
      </c>
      <c r="N180" s="55"/>
      <c r="O180" s="55"/>
    </row>
    <row r="181" spans="1:15">
      <c r="A181" s="55">
        <v>140</v>
      </c>
      <c r="B181" s="55" t="s">
        <v>609</v>
      </c>
      <c r="C181" s="55" t="s">
        <v>19</v>
      </c>
      <c r="D181" s="22">
        <v>3</v>
      </c>
      <c r="E181" s="22">
        <v>6</v>
      </c>
      <c r="F181" s="22">
        <v>51</v>
      </c>
      <c r="G181" s="22">
        <v>54</v>
      </c>
      <c r="H181" s="55">
        <v>-50</v>
      </c>
      <c r="I181" s="55">
        <v>-5.56</v>
      </c>
      <c r="J181" s="55">
        <v>0.02</v>
      </c>
      <c r="K181" s="55">
        <v>0.04</v>
      </c>
      <c r="L181" s="55">
        <v>0.05</v>
      </c>
      <c r="M181" s="55">
        <v>0.05</v>
      </c>
      <c r="N181" s="55"/>
      <c r="O181" s="55"/>
    </row>
    <row r="182" spans="1:15">
      <c r="A182" s="55">
        <v>141</v>
      </c>
      <c r="B182" s="55" t="s">
        <v>190</v>
      </c>
      <c r="C182" s="55" t="s">
        <v>19</v>
      </c>
      <c r="D182" s="22">
        <v>5</v>
      </c>
      <c r="E182" s="22">
        <v>0</v>
      </c>
      <c r="F182" s="22">
        <v>51</v>
      </c>
      <c r="G182" s="22">
        <v>0</v>
      </c>
      <c r="H182" s="55">
        <v>0</v>
      </c>
      <c r="I182" s="55">
        <v>0</v>
      </c>
      <c r="J182" s="55">
        <v>0.03</v>
      </c>
      <c r="K182" s="55">
        <v>0.04</v>
      </c>
      <c r="L182" s="55">
        <v>0</v>
      </c>
      <c r="M182" s="55">
        <v>0</v>
      </c>
      <c r="N182" s="55"/>
      <c r="O182" s="55"/>
    </row>
    <row r="183" spans="1:15" hidden="1">
      <c r="A183" s="55">
        <v>142</v>
      </c>
      <c r="B183" s="55" t="s">
        <v>556</v>
      </c>
      <c r="C183" s="55" t="s">
        <v>20</v>
      </c>
      <c r="D183" s="22">
        <v>4</v>
      </c>
      <c r="E183" s="22">
        <v>1</v>
      </c>
      <c r="F183" s="22">
        <v>48</v>
      </c>
      <c r="G183" s="22">
        <v>124</v>
      </c>
      <c r="H183" s="55">
        <v>300</v>
      </c>
      <c r="I183" s="55">
        <v>-61.29</v>
      </c>
      <c r="J183" s="55">
        <v>0.02</v>
      </c>
      <c r="K183" s="55">
        <v>0.04</v>
      </c>
      <c r="L183" s="55">
        <v>0.01</v>
      </c>
      <c r="M183" s="55">
        <v>0.12</v>
      </c>
      <c r="N183" s="55"/>
      <c r="O183" s="55"/>
    </row>
    <row r="184" spans="1:15" hidden="1">
      <c r="A184" s="55">
        <v>143</v>
      </c>
      <c r="B184" s="55" t="s">
        <v>437</v>
      </c>
      <c r="C184" s="55" t="s">
        <v>20</v>
      </c>
      <c r="D184" s="22">
        <v>11</v>
      </c>
      <c r="E184" s="22">
        <v>1</v>
      </c>
      <c r="F184" s="22">
        <v>46</v>
      </c>
      <c r="G184" s="22">
        <v>21</v>
      </c>
      <c r="H184" s="55">
        <v>1000</v>
      </c>
      <c r="I184" s="55">
        <v>119.05</v>
      </c>
      <c r="J184" s="55">
        <v>0.06</v>
      </c>
      <c r="K184" s="55">
        <v>0.04</v>
      </c>
      <c r="L184" s="55">
        <v>0.01</v>
      </c>
      <c r="M184" s="55">
        <v>0.02</v>
      </c>
      <c r="N184" s="55"/>
      <c r="O184" s="55"/>
    </row>
    <row r="185" spans="1:15">
      <c r="A185" s="55">
        <v>144</v>
      </c>
      <c r="B185" s="55" t="s">
        <v>435</v>
      </c>
      <c r="C185" s="55" t="s">
        <v>19</v>
      </c>
      <c r="D185" s="22">
        <v>4</v>
      </c>
      <c r="E185" s="22">
        <v>0</v>
      </c>
      <c r="F185" s="22">
        <v>45</v>
      </c>
      <c r="G185" s="22">
        <v>23</v>
      </c>
      <c r="H185" s="55">
        <v>0</v>
      </c>
      <c r="I185" s="55">
        <v>95.65</v>
      </c>
      <c r="J185" s="55">
        <v>0.02</v>
      </c>
      <c r="K185" s="55">
        <v>0.04</v>
      </c>
      <c r="L185" s="55">
        <v>0</v>
      </c>
      <c r="M185" s="55">
        <v>0.02</v>
      </c>
      <c r="N185" s="55"/>
      <c r="O185" s="55"/>
    </row>
    <row r="186" spans="1:15" hidden="1">
      <c r="A186" s="55">
        <v>145</v>
      </c>
      <c r="B186" s="55" t="s">
        <v>647</v>
      </c>
      <c r="C186" s="55" t="s">
        <v>20</v>
      </c>
      <c r="D186" s="22">
        <v>5</v>
      </c>
      <c r="E186" s="22">
        <v>5</v>
      </c>
      <c r="F186" s="22">
        <v>43</v>
      </c>
      <c r="G186" s="22">
        <v>45</v>
      </c>
      <c r="H186" s="55">
        <v>0</v>
      </c>
      <c r="I186" s="55">
        <v>-4.4400000000000004</v>
      </c>
      <c r="J186" s="55">
        <v>0.03</v>
      </c>
      <c r="K186" s="55">
        <v>0.03</v>
      </c>
      <c r="L186" s="55">
        <v>0.04</v>
      </c>
      <c r="M186" s="55">
        <v>0.04</v>
      </c>
      <c r="N186" s="55"/>
      <c r="O186" s="55"/>
    </row>
    <row r="187" spans="1:15" hidden="1">
      <c r="A187" s="55">
        <v>146</v>
      </c>
      <c r="B187" s="55" t="s">
        <v>1263</v>
      </c>
      <c r="C187" s="55" t="s">
        <v>20</v>
      </c>
      <c r="D187" s="22">
        <v>41</v>
      </c>
      <c r="E187" s="22">
        <v>0</v>
      </c>
      <c r="F187" s="22">
        <v>41</v>
      </c>
      <c r="G187" s="22">
        <v>0</v>
      </c>
      <c r="H187" s="55">
        <v>0</v>
      </c>
      <c r="I187" s="55">
        <v>0</v>
      </c>
      <c r="J187" s="55">
        <v>0.23</v>
      </c>
      <c r="K187" s="55">
        <v>0.03</v>
      </c>
      <c r="L187" s="55">
        <v>0</v>
      </c>
      <c r="M187" s="55">
        <v>0</v>
      </c>
      <c r="N187" s="55"/>
      <c r="O187" s="55"/>
    </row>
    <row r="188" spans="1:15" hidden="1">
      <c r="A188" s="55">
        <v>147</v>
      </c>
      <c r="B188" s="55" t="s">
        <v>644</v>
      </c>
      <c r="C188" s="55" t="s">
        <v>20</v>
      </c>
      <c r="D188" s="22">
        <v>9</v>
      </c>
      <c r="E188" s="22">
        <v>7</v>
      </c>
      <c r="F188" s="22">
        <v>40</v>
      </c>
      <c r="G188" s="22">
        <v>77</v>
      </c>
      <c r="H188" s="55">
        <v>28.57</v>
      </c>
      <c r="I188" s="55">
        <v>-48.05</v>
      </c>
      <c r="J188" s="55">
        <v>0.05</v>
      </c>
      <c r="K188" s="55">
        <v>0.03</v>
      </c>
      <c r="L188" s="55">
        <v>0.06</v>
      </c>
      <c r="M188" s="55">
        <v>7.0000000000000007E-2</v>
      </c>
      <c r="N188" s="55"/>
      <c r="O188" s="55"/>
    </row>
    <row r="189" spans="1:15" hidden="1">
      <c r="A189" s="55">
        <v>148</v>
      </c>
      <c r="B189" s="55" t="s">
        <v>495</v>
      </c>
      <c r="C189" s="55" t="s">
        <v>20</v>
      </c>
      <c r="D189" s="22">
        <v>0</v>
      </c>
      <c r="E189" s="22">
        <v>3</v>
      </c>
      <c r="F189" s="22">
        <v>39</v>
      </c>
      <c r="G189" s="22">
        <v>80</v>
      </c>
      <c r="H189" s="55">
        <v>-100</v>
      </c>
      <c r="I189" s="55">
        <v>-51.25</v>
      </c>
      <c r="J189" s="55">
        <v>0</v>
      </c>
      <c r="K189" s="55">
        <v>0.03</v>
      </c>
      <c r="L189" s="55">
        <v>0.02</v>
      </c>
      <c r="M189" s="55">
        <v>0.08</v>
      </c>
      <c r="N189" s="55"/>
      <c r="O189" s="55"/>
    </row>
    <row r="190" spans="1:15" hidden="1">
      <c r="A190" s="55">
        <v>149</v>
      </c>
      <c r="B190" s="55" t="s">
        <v>1153</v>
      </c>
      <c r="C190" s="55" t="s">
        <v>20</v>
      </c>
      <c r="D190" s="22">
        <v>11</v>
      </c>
      <c r="E190" s="22">
        <v>0</v>
      </c>
      <c r="F190" s="22">
        <v>38</v>
      </c>
      <c r="G190" s="22">
        <v>3</v>
      </c>
      <c r="H190" s="55">
        <v>0</v>
      </c>
      <c r="I190" s="55">
        <v>1166.67</v>
      </c>
      <c r="J190" s="55">
        <v>0.06</v>
      </c>
      <c r="K190" s="55">
        <v>0.03</v>
      </c>
      <c r="L190" s="55">
        <v>0</v>
      </c>
      <c r="M190" s="55">
        <v>0</v>
      </c>
      <c r="N190" s="55"/>
      <c r="O190" s="55"/>
    </row>
    <row r="191" spans="1:15" hidden="1">
      <c r="A191" s="55">
        <v>150</v>
      </c>
      <c r="B191" s="55" t="s">
        <v>1076</v>
      </c>
      <c r="C191" s="55" t="s">
        <v>20</v>
      </c>
      <c r="D191" s="22">
        <v>3</v>
      </c>
      <c r="E191" s="22">
        <v>0</v>
      </c>
      <c r="F191" s="22">
        <v>38</v>
      </c>
      <c r="G191" s="22">
        <v>0</v>
      </c>
      <c r="H191" s="55">
        <v>0</v>
      </c>
      <c r="I191" s="55">
        <v>0</v>
      </c>
      <c r="J191" s="55">
        <v>0.02</v>
      </c>
      <c r="K191" s="55">
        <v>0.03</v>
      </c>
      <c r="L191" s="55">
        <v>0</v>
      </c>
      <c r="M191" s="55">
        <v>0</v>
      </c>
      <c r="N191" s="55"/>
      <c r="O191" s="55"/>
    </row>
    <row r="192" spans="1:15">
      <c r="A192" s="55">
        <v>151</v>
      </c>
      <c r="B192" s="55" t="s">
        <v>417</v>
      </c>
      <c r="C192" s="55" t="s">
        <v>19</v>
      </c>
      <c r="D192" s="22">
        <v>7</v>
      </c>
      <c r="E192" s="22">
        <v>3</v>
      </c>
      <c r="F192" s="22">
        <v>36</v>
      </c>
      <c r="G192" s="22">
        <v>55</v>
      </c>
      <c r="H192" s="55">
        <v>133.33000000000001</v>
      </c>
      <c r="I192" s="55">
        <v>-34.549999999999997</v>
      </c>
      <c r="J192" s="55">
        <v>0.04</v>
      </c>
      <c r="K192" s="55">
        <v>0.03</v>
      </c>
      <c r="L192" s="55">
        <v>0.02</v>
      </c>
      <c r="M192" s="55">
        <v>0.05</v>
      </c>
      <c r="N192" s="55"/>
      <c r="O192" s="55"/>
    </row>
    <row r="193" spans="1:15">
      <c r="A193" s="55">
        <v>152</v>
      </c>
      <c r="B193" s="55" t="s">
        <v>426</v>
      </c>
      <c r="C193" s="55" t="s">
        <v>19</v>
      </c>
      <c r="D193" s="22">
        <v>0</v>
      </c>
      <c r="E193" s="22">
        <v>18</v>
      </c>
      <c r="F193" s="22">
        <v>35</v>
      </c>
      <c r="G193" s="22">
        <v>76</v>
      </c>
      <c r="H193" s="55">
        <v>-100</v>
      </c>
      <c r="I193" s="55">
        <v>-53.95</v>
      </c>
      <c r="J193" s="55">
        <v>0</v>
      </c>
      <c r="K193" s="55">
        <v>0.03</v>
      </c>
      <c r="L193" s="55">
        <v>0.15</v>
      </c>
      <c r="M193" s="55">
        <v>7.0000000000000007E-2</v>
      </c>
      <c r="N193" s="55"/>
      <c r="O193" s="55"/>
    </row>
    <row r="194" spans="1:15" hidden="1">
      <c r="A194" s="55">
        <v>153</v>
      </c>
      <c r="B194" s="55" t="s">
        <v>704</v>
      </c>
      <c r="C194" s="55" t="s">
        <v>20</v>
      </c>
      <c r="D194" s="22">
        <v>0</v>
      </c>
      <c r="E194" s="22">
        <v>9</v>
      </c>
      <c r="F194" s="22">
        <v>35</v>
      </c>
      <c r="G194" s="22">
        <v>16</v>
      </c>
      <c r="H194" s="55">
        <v>-100</v>
      </c>
      <c r="I194" s="55">
        <v>118.75</v>
      </c>
      <c r="J194" s="55">
        <v>0</v>
      </c>
      <c r="K194" s="55">
        <v>0.03</v>
      </c>
      <c r="L194" s="55">
        <v>7.0000000000000007E-2</v>
      </c>
      <c r="M194" s="55">
        <v>0.02</v>
      </c>
      <c r="N194" s="55"/>
      <c r="O194" s="55"/>
    </row>
    <row r="195" spans="1:15">
      <c r="A195" s="55">
        <v>154</v>
      </c>
      <c r="B195" s="55" t="s">
        <v>1224</v>
      </c>
      <c r="C195" s="55" t="s">
        <v>19</v>
      </c>
      <c r="D195" s="22">
        <v>14</v>
      </c>
      <c r="E195" s="22">
        <v>0</v>
      </c>
      <c r="F195" s="22">
        <v>35</v>
      </c>
      <c r="G195" s="22">
        <v>0</v>
      </c>
      <c r="H195" s="62">
        <v>0</v>
      </c>
      <c r="I195" s="62">
        <v>0</v>
      </c>
      <c r="J195" s="62">
        <v>0.08</v>
      </c>
      <c r="K195" s="62">
        <v>0.03</v>
      </c>
      <c r="L195" s="62">
        <v>0</v>
      </c>
      <c r="M195" s="62">
        <v>0</v>
      </c>
      <c r="N195" s="55"/>
      <c r="O195" s="55"/>
    </row>
    <row r="196" spans="1:15" hidden="1">
      <c r="A196" s="55">
        <v>155</v>
      </c>
      <c r="B196" s="55" t="s">
        <v>498</v>
      </c>
      <c r="C196" s="55" t="s">
        <v>20</v>
      </c>
      <c r="D196" s="22">
        <v>0</v>
      </c>
      <c r="E196" s="22">
        <v>5</v>
      </c>
      <c r="F196" s="22">
        <v>34</v>
      </c>
      <c r="G196" s="22">
        <v>63</v>
      </c>
      <c r="H196" s="55">
        <v>-100</v>
      </c>
      <c r="I196" s="55">
        <v>-46.03</v>
      </c>
      <c r="J196" s="55">
        <v>0</v>
      </c>
      <c r="K196" s="55">
        <v>0.03</v>
      </c>
      <c r="L196" s="55">
        <v>0.04</v>
      </c>
      <c r="M196" s="55">
        <v>0.06</v>
      </c>
      <c r="N196" s="55"/>
      <c r="O196" s="55"/>
    </row>
    <row r="197" spans="1:15">
      <c r="A197" s="55">
        <v>156</v>
      </c>
      <c r="B197" s="55" t="s">
        <v>489</v>
      </c>
      <c r="C197" s="55" t="s">
        <v>19</v>
      </c>
      <c r="D197" s="22">
        <v>5</v>
      </c>
      <c r="E197" s="22">
        <v>0</v>
      </c>
      <c r="F197" s="22">
        <v>34</v>
      </c>
      <c r="G197" s="22">
        <v>27</v>
      </c>
      <c r="H197" s="55">
        <v>0</v>
      </c>
      <c r="I197" s="55">
        <v>25.93</v>
      </c>
      <c r="J197" s="55">
        <v>0.03</v>
      </c>
      <c r="K197" s="55">
        <v>0.03</v>
      </c>
      <c r="L197" s="55">
        <v>0</v>
      </c>
      <c r="M197" s="55">
        <v>0.03</v>
      </c>
      <c r="N197" s="55"/>
      <c r="O197" s="55"/>
    </row>
    <row r="198" spans="1:15">
      <c r="A198" s="55">
        <v>157</v>
      </c>
      <c r="B198" s="55" t="s">
        <v>139</v>
      </c>
      <c r="C198" s="55" t="s">
        <v>19</v>
      </c>
      <c r="D198" s="22">
        <v>0</v>
      </c>
      <c r="E198" s="22">
        <v>13</v>
      </c>
      <c r="F198" s="22">
        <v>30</v>
      </c>
      <c r="G198" s="22">
        <v>142</v>
      </c>
      <c r="H198" s="55">
        <v>-100</v>
      </c>
      <c r="I198" s="55">
        <v>-78.87</v>
      </c>
      <c r="J198" s="55">
        <v>0</v>
      </c>
      <c r="K198" s="55">
        <v>0.02</v>
      </c>
      <c r="L198" s="55">
        <v>0.11</v>
      </c>
      <c r="M198" s="55">
        <v>0.13</v>
      </c>
      <c r="N198" s="55"/>
      <c r="O198" s="55"/>
    </row>
    <row r="199" spans="1:15">
      <c r="A199" s="55">
        <v>158</v>
      </c>
      <c r="B199" s="55" t="s">
        <v>987</v>
      </c>
      <c r="C199" s="55" t="s">
        <v>19</v>
      </c>
      <c r="D199" s="22">
        <v>0</v>
      </c>
      <c r="E199" s="22">
        <v>7</v>
      </c>
      <c r="F199" s="22">
        <v>30</v>
      </c>
      <c r="G199" s="22">
        <v>63</v>
      </c>
      <c r="H199" s="55">
        <v>-100</v>
      </c>
      <c r="I199" s="55">
        <v>-52.38</v>
      </c>
      <c r="J199" s="55">
        <v>0</v>
      </c>
      <c r="K199" s="55">
        <v>0.02</v>
      </c>
      <c r="L199" s="55">
        <v>0.06</v>
      </c>
      <c r="M199" s="55">
        <v>0.06</v>
      </c>
      <c r="N199" s="55"/>
      <c r="O199" s="55"/>
    </row>
    <row r="200" spans="1:15" hidden="1">
      <c r="A200" s="55">
        <v>159</v>
      </c>
      <c r="B200" s="55" t="s">
        <v>610</v>
      </c>
      <c r="C200" s="55" t="s">
        <v>20</v>
      </c>
      <c r="D200" s="22">
        <v>1</v>
      </c>
      <c r="E200" s="22">
        <v>2</v>
      </c>
      <c r="F200" s="22">
        <v>30</v>
      </c>
      <c r="G200" s="22">
        <v>17</v>
      </c>
      <c r="H200" s="55">
        <v>-50</v>
      </c>
      <c r="I200" s="55">
        <v>76.47</v>
      </c>
      <c r="J200" s="55">
        <v>0.01</v>
      </c>
      <c r="K200" s="55">
        <v>0.02</v>
      </c>
      <c r="L200" s="55">
        <v>0.02</v>
      </c>
      <c r="M200" s="55">
        <v>0.02</v>
      </c>
      <c r="N200" s="55"/>
      <c r="O200" s="55"/>
    </row>
    <row r="201" spans="1:15" hidden="1">
      <c r="A201" s="55">
        <v>160</v>
      </c>
      <c r="B201" s="55" t="s">
        <v>1128</v>
      </c>
      <c r="C201" s="55" t="s">
        <v>20</v>
      </c>
      <c r="D201" s="22">
        <v>3</v>
      </c>
      <c r="E201" s="22">
        <v>0</v>
      </c>
      <c r="F201" s="22">
        <v>30</v>
      </c>
      <c r="G201" s="22">
        <v>0</v>
      </c>
      <c r="H201" s="55">
        <v>0</v>
      </c>
      <c r="I201" s="55">
        <v>0</v>
      </c>
      <c r="J201" s="55">
        <v>0.02</v>
      </c>
      <c r="K201" s="55">
        <v>0.02</v>
      </c>
      <c r="L201" s="55">
        <v>0</v>
      </c>
      <c r="M201" s="55">
        <v>0</v>
      </c>
      <c r="N201" s="55"/>
      <c r="O201" s="55"/>
    </row>
    <row r="202" spans="1:15">
      <c r="A202" s="55">
        <v>161</v>
      </c>
      <c r="B202" s="55" t="s">
        <v>690</v>
      </c>
      <c r="C202" s="55" t="s">
        <v>19</v>
      </c>
      <c r="D202" s="22">
        <v>1</v>
      </c>
      <c r="E202" s="22">
        <v>2</v>
      </c>
      <c r="F202" s="22">
        <v>29</v>
      </c>
      <c r="G202" s="22">
        <v>13</v>
      </c>
      <c r="H202" s="55">
        <v>-50</v>
      </c>
      <c r="I202" s="55">
        <v>123.08</v>
      </c>
      <c r="J202" s="55">
        <v>0.01</v>
      </c>
      <c r="K202" s="55">
        <v>0.02</v>
      </c>
      <c r="L202" s="55">
        <v>0.02</v>
      </c>
      <c r="M202" s="55">
        <v>0.01</v>
      </c>
      <c r="N202" s="55"/>
      <c r="O202" s="55"/>
    </row>
    <row r="203" spans="1:15">
      <c r="A203" s="55">
        <v>162</v>
      </c>
      <c r="B203" s="55" t="s">
        <v>702</v>
      </c>
      <c r="C203" s="55" t="s">
        <v>19</v>
      </c>
      <c r="D203" s="22">
        <v>1</v>
      </c>
      <c r="E203" s="22">
        <v>2</v>
      </c>
      <c r="F203" s="22">
        <v>28</v>
      </c>
      <c r="G203" s="22">
        <v>83</v>
      </c>
      <c r="H203" s="55">
        <v>-50</v>
      </c>
      <c r="I203" s="55">
        <v>-66.27</v>
      </c>
      <c r="J203" s="55">
        <v>0.01</v>
      </c>
      <c r="K203" s="55">
        <v>0.02</v>
      </c>
      <c r="L203" s="55">
        <v>0.02</v>
      </c>
      <c r="M203" s="55">
        <v>0.08</v>
      </c>
      <c r="N203" s="55"/>
      <c r="O203" s="55"/>
    </row>
    <row r="204" spans="1:15" hidden="1">
      <c r="A204" s="55">
        <v>163</v>
      </c>
      <c r="B204" s="55" t="s">
        <v>1239</v>
      </c>
      <c r="C204" s="55" t="s">
        <v>20</v>
      </c>
      <c r="D204" s="22">
        <v>16</v>
      </c>
      <c r="E204" s="22">
        <v>0</v>
      </c>
      <c r="F204" s="22">
        <v>28</v>
      </c>
      <c r="G204" s="22">
        <v>0</v>
      </c>
      <c r="H204" s="55">
        <v>0</v>
      </c>
      <c r="I204" s="55">
        <v>0</v>
      </c>
      <c r="J204" s="55">
        <v>0.09</v>
      </c>
      <c r="K204" s="55">
        <v>0.02</v>
      </c>
      <c r="L204" s="55">
        <v>0</v>
      </c>
      <c r="M204" s="55">
        <v>0</v>
      </c>
      <c r="N204" s="55"/>
      <c r="O204" s="55"/>
    </row>
    <row r="205" spans="1:15">
      <c r="A205" s="135">
        <v>164</v>
      </c>
      <c r="B205" s="135" t="s">
        <v>434</v>
      </c>
      <c r="C205" s="135" t="s">
        <v>19</v>
      </c>
      <c r="D205" s="142">
        <v>2</v>
      </c>
      <c r="E205" s="142">
        <v>5</v>
      </c>
      <c r="F205" s="142">
        <v>26</v>
      </c>
      <c r="G205" s="142">
        <v>86</v>
      </c>
      <c r="H205" s="135">
        <v>-60</v>
      </c>
      <c r="I205" s="135">
        <v>-69.77</v>
      </c>
      <c r="J205" s="135">
        <v>0.01</v>
      </c>
      <c r="K205" s="135">
        <v>0.02</v>
      </c>
      <c r="L205" s="135">
        <v>0.04</v>
      </c>
      <c r="M205" s="135">
        <v>0.08</v>
      </c>
      <c r="N205" s="55"/>
      <c r="O205" s="55"/>
    </row>
    <row r="206" spans="1:15">
      <c r="A206" s="135">
        <v>165</v>
      </c>
      <c r="B206" s="135" t="s">
        <v>492</v>
      </c>
      <c r="C206" s="135" t="s">
        <v>19</v>
      </c>
      <c r="D206" s="142">
        <v>2</v>
      </c>
      <c r="E206" s="142">
        <v>1</v>
      </c>
      <c r="F206" s="142">
        <v>26</v>
      </c>
      <c r="G206" s="142">
        <v>8</v>
      </c>
      <c r="H206" s="135">
        <v>100</v>
      </c>
      <c r="I206" s="135">
        <v>225</v>
      </c>
      <c r="J206" s="135">
        <v>0.01</v>
      </c>
      <c r="K206" s="135">
        <v>0.02</v>
      </c>
      <c r="L206" s="135">
        <v>0.01</v>
      </c>
      <c r="M206" s="135">
        <v>0.01</v>
      </c>
      <c r="N206" s="55"/>
      <c r="O206" s="55"/>
    </row>
    <row r="207" spans="1:15">
      <c r="A207" s="135">
        <v>166</v>
      </c>
      <c r="B207" s="135" t="s">
        <v>129</v>
      </c>
      <c r="C207" s="135" t="s">
        <v>19</v>
      </c>
      <c r="D207" s="142">
        <v>3</v>
      </c>
      <c r="E207" s="142">
        <v>2</v>
      </c>
      <c r="F207" s="142">
        <v>25</v>
      </c>
      <c r="G207" s="142">
        <v>76</v>
      </c>
      <c r="H207" s="135">
        <v>50</v>
      </c>
      <c r="I207" s="135">
        <v>-67.11</v>
      </c>
      <c r="J207" s="135">
        <v>0.02</v>
      </c>
      <c r="K207" s="135">
        <v>0.02</v>
      </c>
      <c r="L207" s="135">
        <v>0.02</v>
      </c>
      <c r="M207" s="135">
        <v>7.0000000000000007E-2</v>
      </c>
      <c r="N207" s="55"/>
      <c r="O207" s="55"/>
    </row>
    <row r="208" spans="1:15" hidden="1">
      <c r="A208" s="135">
        <v>167</v>
      </c>
      <c r="B208" s="135" t="s">
        <v>429</v>
      </c>
      <c r="C208" s="135" t="s">
        <v>20</v>
      </c>
      <c r="D208" s="142">
        <v>0</v>
      </c>
      <c r="E208" s="142">
        <v>0</v>
      </c>
      <c r="F208" s="142">
        <v>24</v>
      </c>
      <c r="G208" s="142">
        <v>28</v>
      </c>
      <c r="H208" s="135">
        <v>0</v>
      </c>
      <c r="I208" s="135">
        <v>-14.29</v>
      </c>
      <c r="J208" s="135">
        <v>0</v>
      </c>
      <c r="K208" s="135">
        <v>0.02</v>
      </c>
      <c r="L208" s="135">
        <v>0</v>
      </c>
      <c r="M208" s="135">
        <v>0.03</v>
      </c>
      <c r="N208" s="55"/>
      <c r="O208" s="55"/>
    </row>
    <row r="209" spans="1:15" hidden="1">
      <c r="A209" s="135">
        <v>168</v>
      </c>
      <c r="B209" s="135" t="s">
        <v>398</v>
      </c>
      <c r="C209" s="135" t="s">
        <v>20</v>
      </c>
      <c r="D209" s="142">
        <v>0</v>
      </c>
      <c r="E209" s="142">
        <v>38</v>
      </c>
      <c r="F209" s="142">
        <v>23</v>
      </c>
      <c r="G209" s="142">
        <v>179</v>
      </c>
      <c r="H209" s="135">
        <v>-100</v>
      </c>
      <c r="I209" s="135">
        <v>-87.15</v>
      </c>
      <c r="J209" s="135">
        <v>0</v>
      </c>
      <c r="K209" s="135">
        <v>0.02</v>
      </c>
      <c r="L209" s="135">
        <v>0.31</v>
      </c>
      <c r="M209" s="135">
        <v>0.17</v>
      </c>
      <c r="N209" s="55"/>
      <c r="O209" s="55"/>
    </row>
    <row r="210" spans="1:15">
      <c r="A210" s="135">
        <v>169</v>
      </c>
      <c r="B210" s="135" t="s">
        <v>237</v>
      </c>
      <c r="C210" s="135" t="s">
        <v>19</v>
      </c>
      <c r="D210" s="142">
        <v>4</v>
      </c>
      <c r="E210" s="142">
        <v>2</v>
      </c>
      <c r="F210" s="142">
        <v>23</v>
      </c>
      <c r="G210" s="142">
        <v>16</v>
      </c>
      <c r="H210" s="135">
        <v>100</v>
      </c>
      <c r="I210" s="135">
        <v>43.75</v>
      </c>
      <c r="J210" s="135">
        <v>0.02</v>
      </c>
      <c r="K210" s="135">
        <v>0.02</v>
      </c>
      <c r="L210" s="135">
        <v>0.02</v>
      </c>
      <c r="M210" s="135">
        <v>0.02</v>
      </c>
      <c r="N210" s="55"/>
      <c r="O210" s="55"/>
    </row>
    <row r="211" spans="1:15">
      <c r="A211" s="135">
        <v>170</v>
      </c>
      <c r="B211" s="135" t="s">
        <v>595</v>
      </c>
      <c r="C211" s="135" t="s">
        <v>19</v>
      </c>
      <c r="D211" s="142">
        <v>1</v>
      </c>
      <c r="E211" s="142">
        <v>0</v>
      </c>
      <c r="F211" s="142">
        <v>22</v>
      </c>
      <c r="G211" s="142">
        <v>47</v>
      </c>
      <c r="H211" s="135">
        <v>0</v>
      </c>
      <c r="I211" s="135">
        <v>-53.19</v>
      </c>
      <c r="J211" s="135">
        <v>0.01</v>
      </c>
      <c r="K211" s="135">
        <v>0.02</v>
      </c>
      <c r="L211" s="135">
        <v>0</v>
      </c>
      <c r="M211" s="135">
        <v>0.04</v>
      </c>
      <c r="N211" s="55"/>
      <c r="O211" s="55"/>
    </row>
    <row r="212" spans="1:15">
      <c r="A212" s="135">
        <v>171</v>
      </c>
      <c r="B212" s="135" t="s">
        <v>698</v>
      </c>
      <c r="C212" s="135" t="s">
        <v>19</v>
      </c>
      <c r="D212" s="142">
        <v>1</v>
      </c>
      <c r="E212" s="142">
        <v>0</v>
      </c>
      <c r="F212" s="142">
        <v>22</v>
      </c>
      <c r="G212" s="142">
        <v>6</v>
      </c>
      <c r="H212" s="135">
        <v>0</v>
      </c>
      <c r="I212" s="135">
        <v>266.67</v>
      </c>
      <c r="J212" s="135">
        <v>0.01</v>
      </c>
      <c r="K212" s="135">
        <v>0.02</v>
      </c>
      <c r="L212" s="135">
        <v>0</v>
      </c>
      <c r="M212" s="135">
        <v>0.01</v>
      </c>
      <c r="N212" s="55"/>
      <c r="O212" s="55"/>
    </row>
    <row r="213" spans="1:15">
      <c r="A213" s="135">
        <v>172</v>
      </c>
      <c r="B213" s="135" t="s">
        <v>419</v>
      </c>
      <c r="C213" s="135" t="s">
        <v>19</v>
      </c>
      <c r="D213" s="142">
        <v>6</v>
      </c>
      <c r="E213" s="142">
        <v>7</v>
      </c>
      <c r="F213" s="142">
        <v>19</v>
      </c>
      <c r="G213" s="142">
        <v>41</v>
      </c>
      <c r="H213" s="135">
        <v>-14.29</v>
      </c>
      <c r="I213" s="135">
        <v>-53.66</v>
      </c>
      <c r="J213" s="135">
        <v>0.03</v>
      </c>
      <c r="K213" s="135">
        <v>0.02</v>
      </c>
      <c r="L213" s="135">
        <v>0.06</v>
      </c>
      <c r="M213" s="135">
        <v>0.04</v>
      </c>
      <c r="N213" s="55"/>
      <c r="O213" s="55"/>
    </row>
    <row r="214" spans="1:15">
      <c r="A214" s="135">
        <v>173</v>
      </c>
      <c r="B214" s="135" t="s">
        <v>497</v>
      </c>
      <c r="C214" s="135" t="s">
        <v>19</v>
      </c>
      <c r="D214" s="142">
        <v>0</v>
      </c>
      <c r="E214" s="142">
        <v>0</v>
      </c>
      <c r="F214" s="142">
        <v>19</v>
      </c>
      <c r="G214" s="142">
        <v>22</v>
      </c>
      <c r="H214" s="137">
        <v>0</v>
      </c>
      <c r="I214" s="137">
        <v>-13.64</v>
      </c>
      <c r="J214" s="137">
        <v>0</v>
      </c>
      <c r="K214" s="137">
        <v>0.02</v>
      </c>
      <c r="L214" s="137">
        <v>0</v>
      </c>
      <c r="M214" s="137">
        <v>0.02</v>
      </c>
      <c r="N214" s="55"/>
      <c r="O214" s="55"/>
    </row>
    <row r="215" spans="1:15" hidden="1">
      <c r="A215" s="135">
        <v>174</v>
      </c>
      <c r="B215" s="135" t="s">
        <v>1269</v>
      </c>
      <c r="C215" s="135" t="s">
        <v>20</v>
      </c>
      <c r="D215" s="142">
        <v>19</v>
      </c>
      <c r="E215" s="142">
        <v>0</v>
      </c>
      <c r="F215" s="142">
        <v>19</v>
      </c>
      <c r="G215" s="142">
        <v>0</v>
      </c>
      <c r="H215" s="135">
        <v>0</v>
      </c>
      <c r="I215" s="135">
        <v>0</v>
      </c>
      <c r="J215" s="135">
        <v>0.11</v>
      </c>
      <c r="K215" s="135">
        <v>0.02</v>
      </c>
      <c r="L215" s="135">
        <v>0</v>
      </c>
      <c r="M215" s="135">
        <v>0</v>
      </c>
      <c r="N215" s="55"/>
      <c r="O215" s="55"/>
    </row>
    <row r="216" spans="1:15" hidden="1">
      <c r="A216" s="135">
        <v>175</v>
      </c>
      <c r="B216" s="135" t="s">
        <v>1233</v>
      </c>
      <c r="C216" s="135" t="s">
        <v>20</v>
      </c>
      <c r="D216" s="142">
        <v>2</v>
      </c>
      <c r="E216" s="142">
        <v>0</v>
      </c>
      <c r="F216" s="142">
        <v>18</v>
      </c>
      <c r="G216" s="142">
        <v>0</v>
      </c>
      <c r="H216" s="135">
        <v>0</v>
      </c>
      <c r="I216" s="135">
        <v>0</v>
      </c>
      <c r="J216" s="135">
        <v>0.01</v>
      </c>
      <c r="K216" s="135">
        <v>0.01</v>
      </c>
      <c r="L216" s="135">
        <v>0</v>
      </c>
      <c r="M216" s="135">
        <v>0</v>
      </c>
      <c r="N216" s="55"/>
      <c r="O216" s="55"/>
    </row>
    <row r="217" spans="1:15" hidden="1">
      <c r="A217" s="135">
        <v>176</v>
      </c>
      <c r="B217" s="135" t="s">
        <v>1036</v>
      </c>
      <c r="C217" s="135" t="s">
        <v>20</v>
      </c>
      <c r="D217" s="142">
        <v>1</v>
      </c>
      <c r="E217" s="142">
        <v>0</v>
      </c>
      <c r="F217" s="142">
        <v>18</v>
      </c>
      <c r="G217" s="142">
        <v>0</v>
      </c>
      <c r="H217" s="135">
        <v>0</v>
      </c>
      <c r="I217" s="135">
        <v>0</v>
      </c>
      <c r="J217" s="135">
        <v>0.01</v>
      </c>
      <c r="K217" s="135">
        <v>0.01</v>
      </c>
      <c r="L217" s="135">
        <v>0</v>
      </c>
      <c r="M217" s="135">
        <v>0</v>
      </c>
      <c r="N217" s="55"/>
      <c r="O217" s="55"/>
    </row>
    <row r="218" spans="1:15" hidden="1">
      <c r="A218" s="135">
        <v>177</v>
      </c>
      <c r="B218" s="135" t="s">
        <v>1084</v>
      </c>
      <c r="C218" s="135" t="s">
        <v>20</v>
      </c>
      <c r="D218" s="142">
        <v>3</v>
      </c>
      <c r="E218" s="142">
        <v>0</v>
      </c>
      <c r="F218" s="142">
        <v>18</v>
      </c>
      <c r="G218" s="142">
        <v>0</v>
      </c>
      <c r="H218" s="135">
        <v>0</v>
      </c>
      <c r="I218" s="135">
        <v>0</v>
      </c>
      <c r="J218" s="135">
        <v>0.02</v>
      </c>
      <c r="K218" s="135">
        <v>0.01</v>
      </c>
      <c r="L218" s="135">
        <v>0</v>
      </c>
      <c r="M218" s="135">
        <v>0</v>
      </c>
      <c r="N218" s="55"/>
      <c r="O218" s="55"/>
    </row>
    <row r="219" spans="1:15">
      <c r="A219" s="135">
        <v>178</v>
      </c>
      <c r="B219" s="135" t="s">
        <v>171</v>
      </c>
      <c r="C219" s="135" t="s">
        <v>19</v>
      </c>
      <c r="D219" s="142">
        <v>2</v>
      </c>
      <c r="E219" s="142">
        <v>0</v>
      </c>
      <c r="F219" s="142">
        <v>16</v>
      </c>
      <c r="G219" s="142">
        <v>30</v>
      </c>
      <c r="H219" s="135">
        <v>0</v>
      </c>
      <c r="I219" s="135">
        <v>-46.67</v>
      </c>
      <c r="J219" s="135">
        <v>0.01</v>
      </c>
      <c r="K219" s="135">
        <v>0.01</v>
      </c>
      <c r="L219" s="135">
        <v>0</v>
      </c>
      <c r="M219" s="135">
        <v>0.03</v>
      </c>
      <c r="N219" s="55"/>
      <c r="O219" s="55"/>
    </row>
    <row r="220" spans="1:15" hidden="1">
      <c r="A220" s="135">
        <v>179</v>
      </c>
      <c r="B220" s="135" t="s">
        <v>1099</v>
      </c>
      <c r="C220" s="135" t="s">
        <v>20</v>
      </c>
      <c r="D220" s="142">
        <v>0</v>
      </c>
      <c r="E220" s="142">
        <v>2</v>
      </c>
      <c r="F220" s="142">
        <v>15</v>
      </c>
      <c r="G220" s="142">
        <v>13</v>
      </c>
      <c r="H220" s="135">
        <v>-100</v>
      </c>
      <c r="I220" s="135">
        <v>15.38</v>
      </c>
      <c r="J220" s="135">
        <v>0</v>
      </c>
      <c r="K220" s="135">
        <v>0.01</v>
      </c>
      <c r="L220" s="135">
        <v>0.02</v>
      </c>
      <c r="M220" s="135">
        <v>0.01</v>
      </c>
      <c r="N220" s="55"/>
      <c r="O220" s="55"/>
    </row>
    <row r="221" spans="1:15" hidden="1">
      <c r="A221" s="135">
        <v>180</v>
      </c>
      <c r="B221" s="135" t="s">
        <v>386</v>
      </c>
      <c r="C221" s="135" t="s">
        <v>20</v>
      </c>
      <c r="D221" s="142">
        <v>0</v>
      </c>
      <c r="E221" s="142">
        <v>0</v>
      </c>
      <c r="F221" s="142">
        <v>14</v>
      </c>
      <c r="G221" s="142">
        <v>85</v>
      </c>
      <c r="H221" s="135">
        <v>0</v>
      </c>
      <c r="I221" s="135">
        <v>-83.53</v>
      </c>
      <c r="J221" s="135">
        <v>0</v>
      </c>
      <c r="K221" s="135">
        <v>0.01</v>
      </c>
      <c r="L221" s="135">
        <v>0</v>
      </c>
      <c r="M221" s="135">
        <v>0.08</v>
      </c>
      <c r="N221" s="55"/>
      <c r="O221" s="55"/>
    </row>
    <row r="222" spans="1:15">
      <c r="A222" s="135">
        <v>181</v>
      </c>
      <c r="B222" s="135" t="s">
        <v>232</v>
      </c>
      <c r="C222" s="135" t="s">
        <v>19</v>
      </c>
      <c r="D222" s="142">
        <v>2</v>
      </c>
      <c r="E222" s="142">
        <v>6</v>
      </c>
      <c r="F222" s="142">
        <v>14</v>
      </c>
      <c r="G222" s="142">
        <v>28</v>
      </c>
      <c r="H222" s="135">
        <v>-66.67</v>
      </c>
      <c r="I222" s="135">
        <v>-50</v>
      </c>
      <c r="J222" s="135">
        <v>0.01</v>
      </c>
      <c r="K222" s="135">
        <v>0.01</v>
      </c>
      <c r="L222" s="135">
        <v>0.05</v>
      </c>
      <c r="M222" s="135">
        <v>0.03</v>
      </c>
      <c r="N222" s="55"/>
      <c r="O222" s="55"/>
    </row>
    <row r="223" spans="1:15">
      <c r="A223" s="135">
        <v>182</v>
      </c>
      <c r="B223" s="135" t="s">
        <v>421</v>
      </c>
      <c r="C223" s="135" t="s">
        <v>19</v>
      </c>
      <c r="D223" s="142">
        <v>2</v>
      </c>
      <c r="E223" s="142">
        <v>0</v>
      </c>
      <c r="F223" s="142">
        <v>12</v>
      </c>
      <c r="G223" s="142">
        <v>31</v>
      </c>
      <c r="H223" s="135">
        <v>0</v>
      </c>
      <c r="I223" s="135">
        <v>-61.29</v>
      </c>
      <c r="J223" s="135">
        <v>0.01</v>
      </c>
      <c r="K223" s="135">
        <v>0.01</v>
      </c>
      <c r="L223" s="135">
        <v>0</v>
      </c>
      <c r="M223" s="135">
        <v>0.03</v>
      </c>
      <c r="N223" s="55"/>
      <c r="O223" s="55"/>
    </row>
    <row r="224" spans="1:15" hidden="1">
      <c r="A224" s="135">
        <v>183</v>
      </c>
      <c r="B224" s="135" t="s">
        <v>1081</v>
      </c>
      <c r="C224" s="135" t="s">
        <v>20</v>
      </c>
      <c r="D224" s="142">
        <v>1</v>
      </c>
      <c r="E224" s="142">
        <v>1</v>
      </c>
      <c r="F224" s="142">
        <v>11</v>
      </c>
      <c r="G224" s="142">
        <v>16</v>
      </c>
      <c r="H224" s="135">
        <v>0</v>
      </c>
      <c r="I224" s="135">
        <v>-31.25</v>
      </c>
      <c r="J224" s="135">
        <v>0.01</v>
      </c>
      <c r="K224" s="135">
        <v>0.01</v>
      </c>
      <c r="L224" s="135">
        <v>0.01</v>
      </c>
      <c r="M224" s="135">
        <v>0.02</v>
      </c>
      <c r="N224" s="55"/>
      <c r="O224" s="55"/>
    </row>
    <row r="225" spans="1:15">
      <c r="A225" s="135">
        <v>184</v>
      </c>
      <c r="B225" s="135" t="s">
        <v>389</v>
      </c>
      <c r="C225" s="135" t="s">
        <v>19</v>
      </c>
      <c r="D225" s="142">
        <v>0</v>
      </c>
      <c r="E225" s="142">
        <v>7</v>
      </c>
      <c r="F225" s="142">
        <v>11</v>
      </c>
      <c r="G225" s="142">
        <v>7</v>
      </c>
      <c r="H225" s="135">
        <v>-100</v>
      </c>
      <c r="I225" s="135">
        <v>57.14</v>
      </c>
      <c r="J225" s="135">
        <v>0</v>
      </c>
      <c r="K225" s="135">
        <v>0.01</v>
      </c>
      <c r="L225" s="135">
        <v>0.06</v>
      </c>
      <c r="M225" s="135">
        <v>0.01</v>
      </c>
      <c r="N225" s="55"/>
      <c r="O225" s="55"/>
    </row>
    <row r="226" spans="1:15">
      <c r="A226" s="135">
        <v>185</v>
      </c>
      <c r="B226" s="135" t="s">
        <v>1216</v>
      </c>
      <c r="C226" s="135" t="s">
        <v>19</v>
      </c>
      <c r="D226" s="142">
        <v>2</v>
      </c>
      <c r="E226" s="142">
        <v>0</v>
      </c>
      <c r="F226" s="142">
        <v>11</v>
      </c>
      <c r="G226" s="142">
        <v>0</v>
      </c>
      <c r="H226" s="135">
        <v>0</v>
      </c>
      <c r="I226" s="135">
        <v>0</v>
      </c>
      <c r="J226" s="135">
        <v>0.01</v>
      </c>
      <c r="K226" s="135">
        <v>0.01</v>
      </c>
      <c r="L226" s="135">
        <v>0</v>
      </c>
      <c r="M226" s="135">
        <v>0</v>
      </c>
      <c r="N226" s="55"/>
      <c r="O226" s="55"/>
    </row>
    <row r="227" spans="1:15">
      <c r="A227" s="135">
        <v>186</v>
      </c>
      <c r="B227" s="135" t="s">
        <v>359</v>
      </c>
      <c r="C227" s="135" t="s">
        <v>19</v>
      </c>
      <c r="D227" s="142">
        <v>0</v>
      </c>
      <c r="E227" s="142">
        <v>2</v>
      </c>
      <c r="F227" s="142">
        <v>9</v>
      </c>
      <c r="G227" s="142">
        <v>14</v>
      </c>
      <c r="H227" s="135">
        <v>-100</v>
      </c>
      <c r="I227" s="135">
        <v>-35.71</v>
      </c>
      <c r="J227" s="135">
        <v>0</v>
      </c>
      <c r="K227" s="135">
        <v>0.01</v>
      </c>
      <c r="L227" s="135">
        <v>0.02</v>
      </c>
      <c r="M227" s="135">
        <v>0.01</v>
      </c>
      <c r="N227" s="55"/>
      <c r="O227" s="55"/>
    </row>
    <row r="228" spans="1:15">
      <c r="A228" s="135">
        <v>187</v>
      </c>
      <c r="B228" s="135" t="s">
        <v>1159</v>
      </c>
      <c r="C228" s="135" t="s">
        <v>19</v>
      </c>
      <c r="D228" s="142">
        <v>0</v>
      </c>
      <c r="E228" s="142">
        <v>0</v>
      </c>
      <c r="F228" s="142">
        <v>9</v>
      </c>
      <c r="G228" s="142">
        <v>0</v>
      </c>
      <c r="H228" s="135">
        <v>0</v>
      </c>
      <c r="I228" s="135">
        <v>0</v>
      </c>
      <c r="J228" s="135">
        <v>0</v>
      </c>
      <c r="K228" s="135">
        <v>0.01</v>
      </c>
      <c r="L228" s="135">
        <v>0</v>
      </c>
      <c r="M228" s="135">
        <v>0</v>
      </c>
      <c r="N228" s="55"/>
      <c r="O228" s="55"/>
    </row>
    <row r="229" spans="1:15" hidden="1">
      <c r="A229" s="135">
        <v>188</v>
      </c>
      <c r="B229" s="135" t="s">
        <v>1225</v>
      </c>
      <c r="C229" s="135" t="s">
        <v>20</v>
      </c>
      <c r="D229" s="142">
        <v>0</v>
      </c>
      <c r="E229" s="142">
        <v>0</v>
      </c>
      <c r="F229" s="142">
        <v>8</v>
      </c>
      <c r="G229" s="142">
        <v>0</v>
      </c>
      <c r="H229" s="135">
        <v>0</v>
      </c>
      <c r="I229" s="135">
        <v>0</v>
      </c>
      <c r="J229" s="135">
        <v>0</v>
      </c>
      <c r="K229" s="135">
        <v>0.01</v>
      </c>
      <c r="L229" s="135">
        <v>0</v>
      </c>
      <c r="M229" s="135">
        <v>0</v>
      </c>
    </row>
    <row r="230" spans="1:15">
      <c r="A230" s="135">
        <v>189</v>
      </c>
      <c r="B230" s="135" t="s">
        <v>1157</v>
      </c>
      <c r="C230" s="135" t="s">
        <v>19</v>
      </c>
      <c r="D230" s="142">
        <v>3</v>
      </c>
      <c r="E230" s="142">
        <v>0</v>
      </c>
      <c r="F230" s="142">
        <v>7</v>
      </c>
      <c r="G230" s="142">
        <v>0</v>
      </c>
      <c r="H230" s="135">
        <v>0</v>
      </c>
      <c r="I230" s="135">
        <v>0</v>
      </c>
      <c r="J230" s="135">
        <v>0.02</v>
      </c>
      <c r="K230" s="135">
        <v>0.01</v>
      </c>
      <c r="L230" s="135">
        <v>0</v>
      </c>
      <c r="M230" s="135">
        <v>0</v>
      </c>
    </row>
    <row r="231" spans="1:15">
      <c r="A231" s="135">
        <v>190</v>
      </c>
      <c r="B231" s="135" t="s">
        <v>377</v>
      </c>
      <c r="C231" s="135" t="s">
        <v>19</v>
      </c>
      <c r="D231" s="142">
        <v>0</v>
      </c>
      <c r="E231" s="142">
        <v>2</v>
      </c>
      <c r="F231" s="142">
        <v>6</v>
      </c>
      <c r="G231" s="142">
        <v>72</v>
      </c>
      <c r="H231" s="135">
        <v>-100</v>
      </c>
      <c r="I231" s="135">
        <v>-91.67</v>
      </c>
      <c r="J231" s="135">
        <v>0</v>
      </c>
      <c r="K231" s="135">
        <v>0</v>
      </c>
      <c r="L231" s="135">
        <v>0.02</v>
      </c>
      <c r="M231" s="135">
        <v>7.0000000000000007E-2</v>
      </c>
    </row>
    <row r="232" spans="1:15">
      <c r="A232" s="135">
        <v>191</v>
      </c>
      <c r="B232" s="135" t="s">
        <v>1095</v>
      </c>
      <c r="C232" s="135" t="s">
        <v>19</v>
      </c>
      <c r="D232" s="142">
        <v>0</v>
      </c>
      <c r="E232" s="142">
        <v>0</v>
      </c>
      <c r="F232" s="142">
        <v>5</v>
      </c>
      <c r="G232" s="142">
        <v>3</v>
      </c>
      <c r="H232" s="135">
        <v>0</v>
      </c>
      <c r="I232" s="135">
        <v>66.67</v>
      </c>
      <c r="J232" s="135">
        <v>0</v>
      </c>
      <c r="K232" s="135">
        <v>0</v>
      </c>
      <c r="L232" s="135">
        <v>0</v>
      </c>
      <c r="M232" s="135">
        <v>0</v>
      </c>
    </row>
    <row r="233" spans="1:15">
      <c r="A233" s="135">
        <v>192</v>
      </c>
      <c r="B233" s="135" t="s">
        <v>1096</v>
      </c>
      <c r="C233" s="135" t="s">
        <v>19</v>
      </c>
      <c r="D233" s="142">
        <v>0</v>
      </c>
      <c r="E233" s="142">
        <v>0</v>
      </c>
      <c r="F233" s="142">
        <v>5</v>
      </c>
      <c r="G233" s="142">
        <v>0</v>
      </c>
      <c r="H233" s="135">
        <v>0</v>
      </c>
      <c r="I233" s="135">
        <v>0</v>
      </c>
      <c r="J233" s="135">
        <v>0</v>
      </c>
      <c r="K233" s="135">
        <v>0</v>
      </c>
      <c r="L233" s="135">
        <v>0</v>
      </c>
      <c r="M233" s="135">
        <v>0</v>
      </c>
    </row>
    <row r="234" spans="1:15">
      <c r="A234" s="135">
        <v>193</v>
      </c>
      <c r="B234" s="135" t="s">
        <v>494</v>
      </c>
      <c r="C234" s="135" t="s">
        <v>19</v>
      </c>
      <c r="D234" s="142">
        <v>0</v>
      </c>
      <c r="E234" s="142">
        <v>4</v>
      </c>
      <c r="F234" s="142">
        <v>4</v>
      </c>
      <c r="G234" s="142">
        <v>39</v>
      </c>
      <c r="H234" s="135">
        <v>-100</v>
      </c>
      <c r="I234" s="135">
        <v>-89.74</v>
      </c>
      <c r="J234" s="135">
        <v>0</v>
      </c>
      <c r="K234" s="135">
        <v>0</v>
      </c>
      <c r="L234" s="135">
        <v>0.03</v>
      </c>
      <c r="M234" s="135">
        <v>0.04</v>
      </c>
    </row>
    <row r="235" spans="1:15">
      <c r="A235" s="135">
        <v>194</v>
      </c>
      <c r="B235" s="135" t="s">
        <v>433</v>
      </c>
      <c r="C235" s="135" t="s">
        <v>19</v>
      </c>
      <c r="D235" s="142">
        <v>0</v>
      </c>
      <c r="E235" s="142">
        <v>0</v>
      </c>
      <c r="F235" s="142">
        <v>4</v>
      </c>
      <c r="G235" s="142">
        <v>5</v>
      </c>
      <c r="H235" s="135">
        <v>0</v>
      </c>
      <c r="I235" s="135">
        <v>-20</v>
      </c>
      <c r="J235" s="135">
        <v>0</v>
      </c>
      <c r="K235" s="135">
        <v>0</v>
      </c>
      <c r="L235" s="135">
        <v>0</v>
      </c>
      <c r="M235" s="135">
        <v>0</v>
      </c>
    </row>
    <row r="236" spans="1:15">
      <c r="A236" s="135">
        <v>195</v>
      </c>
      <c r="B236" s="135" t="s">
        <v>1061</v>
      </c>
      <c r="C236" s="135" t="s">
        <v>19</v>
      </c>
      <c r="D236" s="142">
        <v>0</v>
      </c>
      <c r="E236" s="142">
        <v>0</v>
      </c>
      <c r="F236" s="142">
        <v>4</v>
      </c>
      <c r="G236" s="142">
        <v>0</v>
      </c>
      <c r="H236" s="135">
        <v>0</v>
      </c>
      <c r="I236" s="135">
        <v>0</v>
      </c>
      <c r="J236" s="135">
        <v>0</v>
      </c>
      <c r="K236" s="135">
        <v>0</v>
      </c>
      <c r="L236" s="135">
        <v>0</v>
      </c>
      <c r="M236" s="135">
        <v>0</v>
      </c>
    </row>
    <row r="237" spans="1:15">
      <c r="A237" s="135">
        <v>196</v>
      </c>
      <c r="B237" s="135" t="s">
        <v>140</v>
      </c>
      <c r="C237" s="135" t="s">
        <v>19</v>
      </c>
      <c r="D237" s="142">
        <v>0</v>
      </c>
      <c r="E237" s="142">
        <v>2</v>
      </c>
      <c r="F237" s="142">
        <v>3</v>
      </c>
      <c r="G237" s="142">
        <v>102</v>
      </c>
      <c r="H237" s="135">
        <v>-100</v>
      </c>
      <c r="I237" s="135">
        <v>-97.06</v>
      </c>
      <c r="J237" s="135">
        <v>0</v>
      </c>
      <c r="K237" s="135">
        <v>0</v>
      </c>
      <c r="L237" s="135">
        <v>0.02</v>
      </c>
      <c r="M237" s="135">
        <v>0.1</v>
      </c>
    </row>
    <row r="238" spans="1:15">
      <c r="A238" s="135">
        <v>197</v>
      </c>
      <c r="B238" s="135" t="s">
        <v>1098</v>
      </c>
      <c r="C238" s="135" t="s">
        <v>19</v>
      </c>
      <c r="D238" s="142">
        <v>1</v>
      </c>
      <c r="E238" s="142">
        <v>1</v>
      </c>
      <c r="F238" s="142">
        <v>3</v>
      </c>
      <c r="G238" s="142">
        <v>4</v>
      </c>
      <c r="H238" s="135">
        <v>0</v>
      </c>
      <c r="I238" s="135">
        <v>-25</v>
      </c>
      <c r="J238" s="135">
        <v>0.01</v>
      </c>
      <c r="K238" s="135">
        <v>0</v>
      </c>
      <c r="L238" s="135">
        <v>0.01</v>
      </c>
      <c r="M238" s="135">
        <v>0</v>
      </c>
    </row>
    <row r="239" spans="1:15">
      <c r="A239" s="135">
        <v>198</v>
      </c>
      <c r="B239" s="135" t="s">
        <v>1102</v>
      </c>
      <c r="C239" s="135" t="s">
        <v>19</v>
      </c>
      <c r="D239" s="142">
        <v>1</v>
      </c>
      <c r="E239" s="142">
        <v>0</v>
      </c>
      <c r="F239" s="142">
        <v>3</v>
      </c>
      <c r="G239" s="142">
        <v>2</v>
      </c>
      <c r="H239" s="135">
        <v>0</v>
      </c>
      <c r="I239" s="135">
        <v>50</v>
      </c>
      <c r="J239" s="135">
        <v>0.01</v>
      </c>
      <c r="K239" s="135">
        <v>0</v>
      </c>
      <c r="L239" s="135">
        <v>0</v>
      </c>
      <c r="M239" s="135">
        <v>0</v>
      </c>
    </row>
    <row r="240" spans="1:15" hidden="1">
      <c r="A240" s="135">
        <v>199</v>
      </c>
      <c r="B240" s="135" t="s">
        <v>230</v>
      </c>
      <c r="C240" s="135" t="s">
        <v>20</v>
      </c>
      <c r="D240" s="142">
        <v>0</v>
      </c>
      <c r="E240" s="142">
        <v>238</v>
      </c>
      <c r="F240" s="142">
        <v>2</v>
      </c>
      <c r="G240" s="142">
        <v>1813</v>
      </c>
      <c r="H240" s="135">
        <v>-100</v>
      </c>
      <c r="I240" s="135">
        <v>-99.89</v>
      </c>
      <c r="J240" s="135">
        <v>0</v>
      </c>
      <c r="K240" s="135">
        <v>0</v>
      </c>
      <c r="L240" s="135">
        <v>1.96</v>
      </c>
      <c r="M240" s="135">
        <v>1.72</v>
      </c>
    </row>
    <row r="241" spans="1:13">
      <c r="A241" s="135">
        <v>200</v>
      </c>
      <c r="B241" s="135" t="s">
        <v>670</v>
      </c>
      <c r="C241" s="135" t="s">
        <v>19</v>
      </c>
      <c r="D241" s="142">
        <v>0</v>
      </c>
      <c r="E241" s="142">
        <v>2</v>
      </c>
      <c r="F241" s="142">
        <v>2</v>
      </c>
      <c r="G241" s="142">
        <v>15</v>
      </c>
      <c r="H241" s="135">
        <v>-100</v>
      </c>
      <c r="I241" s="135">
        <v>-86.67</v>
      </c>
      <c r="J241" s="135">
        <v>0</v>
      </c>
      <c r="K241" s="135">
        <v>0</v>
      </c>
      <c r="L241" s="135">
        <v>0.02</v>
      </c>
      <c r="M241" s="135">
        <v>0.01</v>
      </c>
    </row>
    <row r="242" spans="1:13">
      <c r="A242" s="135">
        <v>201</v>
      </c>
      <c r="B242" s="135" t="s">
        <v>551</v>
      </c>
      <c r="C242" s="135" t="s">
        <v>19</v>
      </c>
      <c r="D242" s="142">
        <v>0</v>
      </c>
      <c r="E242" s="142">
        <v>1</v>
      </c>
      <c r="F242" s="142">
        <v>2</v>
      </c>
      <c r="G242" s="142">
        <v>5</v>
      </c>
      <c r="H242" s="135">
        <v>-100</v>
      </c>
      <c r="I242" s="135">
        <v>-60</v>
      </c>
      <c r="J242" s="135">
        <v>0</v>
      </c>
      <c r="K242" s="135">
        <v>0</v>
      </c>
      <c r="L242" s="135">
        <v>0.01</v>
      </c>
      <c r="M242" s="135">
        <v>0</v>
      </c>
    </row>
    <row r="243" spans="1:13" hidden="1">
      <c r="A243" s="135">
        <v>202</v>
      </c>
      <c r="B243" s="135" t="s">
        <v>486</v>
      </c>
      <c r="C243" s="135" t="s">
        <v>989</v>
      </c>
      <c r="D243" s="142">
        <v>0</v>
      </c>
      <c r="E243" s="142">
        <v>0</v>
      </c>
      <c r="F243" s="142">
        <v>2</v>
      </c>
      <c r="G243" s="142">
        <v>2</v>
      </c>
      <c r="H243" s="135">
        <v>0</v>
      </c>
      <c r="I243" s="135">
        <v>0</v>
      </c>
      <c r="J243" s="135">
        <v>0</v>
      </c>
      <c r="K243" s="135">
        <v>0</v>
      </c>
      <c r="L243" s="135">
        <v>0</v>
      </c>
      <c r="M243" s="135">
        <v>0</v>
      </c>
    </row>
    <row r="244" spans="1:13" hidden="1">
      <c r="A244" s="135">
        <v>203</v>
      </c>
      <c r="B244" s="135" t="s">
        <v>1158</v>
      </c>
      <c r="C244" s="135" t="s">
        <v>20</v>
      </c>
      <c r="D244" s="142">
        <v>0</v>
      </c>
      <c r="E244" s="142">
        <v>0</v>
      </c>
      <c r="F244" s="142">
        <v>2</v>
      </c>
      <c r="G244" s="142">
        <v>1</v>
      </c>
      <c r="H244" s="135">
        <v>0</v>
      </c>
      <c r="I244" s="135">
        <v>100</v>
      </c>
      <c r="J244" s="135">
        <v>0</v>
      </c>
      <c r="K244" s="135">
        <v>0</v>
      </c>
      <c r="L244" s="135">
        <v>0</v>
      </c>
      <c r="M244" s="135">
        <v>0</v>
      </c>
    </row>
    <row r="245" spans="1:13" hidden="1">
      <c r="A245" s="135">
        <v>204</v>
      </c>
      <c r="B245" s="135" t="s">
        <v>1270</v>
      </c>
      <c r="C245" s="135" t="s">
        <v>20</v>
      </c>
      <c r="D245" s="142">
        <v>2</v>
      </c>
      <c r="E245" s="142">
        <v>0</v>
      </c>
      <c r="F245" s="142">
        <v>2</v>
      </c>
      <c r="G245" s="142">
        <v>0</v>
      </c>
      <c r="H245" s="135">
        <v>0</v>
      </c>
      <c r="I245" s="135">
        <v>0</v>
      </c>
      <c r="J245" s="135">
        <v>0.01</v>
      </c>
      <c r="K245" s="135">
        <v>0</v>
      </c>
      <c r="L245" s="135">
        <v>0</v>
      </c>
      <c r="M245" s="135">
        <v>0</v>
      </c>
    </row>
    <row r="246" spans="1:13" hidden="1">
      <c r="A246" s="135">
        <v>205</v>
      </c>
      <c r="B246" s="135" t="s">
        <v>1150</v>
      </c>
      <c r="C246" s="135" t="s">
        <v>20</v>
      </c>
      <c r="D246" s="142">
        <v>0</v>
      </c>
      <c r="E246" s="142">
        <v>0</v>
      </c>
      <c r="F246" s="142">
        <v>2</v>
      </c>
      <c r="G246" s="142">
        <v>0</v>
      </c>
      <c r="H246" s="135">
        <v>0</v>
      </c>
      <c r="I246" s="135">
        <v>0</v>
      </c>
      <c r="J246" s="135">
        <v>0</v>
      </c>
      <c r="K246" s="135">
        <v>0</v>
      </c>
      <c r="L246" s="135">
        <v>0</v>
      </c>
      <c r="M246" s="135">
        <v>0</v>
      </c>
    </row>
    <row r="247" spans="1:13" hidden="1">
      <c r="A247" s="135">
        <v>206</v>
      </c>
      <c r="B247" s="135" t="s">
        <v>1267</v>
      </c>
      <c r="C247" s="135" t="s">
        <v>20</v>
      </c>
      <c r="D247" s="142">
        <v>2</v>
      </c>
      <c r="E247" s="142">
        <v>0</v>
      </c>
      <c r="F247" s="142">
        <v>2</v>
      </c>
      <c r="G247" s="142">
        <v>0</v>
      </c>
      <c r="H247" s="135">
        <v>0</v>
      </c>
      <c r="I247" s="135">
        <v>0</v>
      </c>
      <c r="J247" s="135">
        <v>0.01</v>
      </c>
      <c r="K247" s="135">
        <v>0</v>
      </c>
      <c r="L247" s="135">
        <v>0</v>
      </c>
      <c r="M247" s="135">
        <v>0</v>
      </c>
    </row>
    <row r="248" spans="1:13">
      <c r="A248" s="135">
        <v>207</v>
      </c>
      <c r="B248" s="135" t="s">
        <v>1188</v>
      </c>
      <c r="C248" s="135" t="s">
        <v>19</v>
      </c>
      <c r="D248" s="142">
        <v>0</v>
      </c>
      <c r="E248" s="142">
        <v>0</v>
      </c>
      <c r="F248" s="142">
        <v>2</v>
      </c>
      <c r="G248" s="142">
        <v>0</v>
      </c>
      <c r="H248" s="135">
        <v>0</v>
      </c>
      <c r="I248" s="135">
        <v>0</v>
      </c>
      <c r="J248" s="135">
        <v>0</v>
      </c>
      <c r="K248" s="135">
        <v>0</v>
      </c>
      <c r="L248" s="135">
        <v>0</v>
      </c>
      <c r="M248" s="135">
        <v>0</v>
      </c>
    </row>
    <row r="249" spans="1:13" hidden="1">
      <c r="A249" s="135">
        <v>208</v>
      </c>
      <c r="B249" s="135" t="s">
        <v>1271</v>
      </c>
      <c r="C249" s="135" t="s">
        <v>20</v>
      </c>
      <c r="D249" s="142">
        <v>2</v>
      </c>
      <c r="E249" s="142">
        <v>0</v>
      </c>
      <c r="F249" s="142">
        <v>2</v>
      </c>
      <c r="G249" s="142">
        <v>0</v>
      </c>
      <c r="H249" s="135">
        <v>0</v>
      </c>
      <c r="I249" s="135">
        <v>0</v>
      </c>
      <c r="J249" s="135">
        <v>0.01</v>
      </c>
      <c r="K249" s="135">
        <v>0</v>
      </c>
      <c r="L249" s="135">
        <v>0</v>
      </c>
      <c r="M249" s="135">
        <v>0</v>
      </c>
    </row>
    <row r="250" spans="1:13">
      <c r="A250" s="135">
        <v>209</v>
      </c>
      <c r="B250" s="135" t="s">
        <v>1272</v>
      </c>
      <c r="C250" s="135" t="s">
        <v>19</v>
      </c>
      <c r="D250" s="142">
        <v>2</v>
      </c>
      <c r="E250" s="142">
        <v>0</v>
      </c>
      <c r="F250" s="142">
        <v>2</v>
      </c>
      <c r="G250" s="142">
        <v>0</v>
      </c>
      <c r="H250" s="135">
        <v>0</v>
      </c>
      <c r="I250" s="135">
        <v>0</v>
      </c>
      <c r="J250" s="135">
        <v>0.01</v>
      </c>
      <c r="K250" s="135">
        <v>0</v>
      </c>
      <c r="L250" s="135">
        <v>0</v>
      </c>
      <c r="M250" s="135">
        <v>0</v>
      </c>
    </row>
    <row r="251" spans="1:13">
      <c r="A251" s="135">
        <v>210</v>
      </c>
      <c r="B251" s="135" t="s">
        <v>420</v>
      </c>
      <c r="C251" s="135" t="s">
        <v>19</v>
      </c>
      <c r="D251" s="142">
        <v>0</v>
      </c>
      <c r="E251" s="142">
        <v>16</v>
      </c>
      <c r="F251" s="142">
        <v>1</v>
      </c>
      <c r="G251" s="142">
        <v>206</v>
      </c>
      <c r="H251" s="135">
        <v>-100</v>
      </c>
      <c r="I251" s="135">
        <v>-99.51</v>
      </c>
      <c r="J251" s="135">
        <v>0</v>
      </c>
      <c r="K251" s="135">
        <v>0</v>
      </c>
      <c r="L251" s="135">
        <v>0.13</v>
      </c>
      <c r="M251" s="135">
        <v>0.2</v>
      </c>
    </row>
    <row r="252" spans="1:13">
      <c r="A252" s="135">
        <v>211</v>
      </c>
      <c r="B252" s="135" t="s">
        <v>1097</v>
      </c>
      <c r="C252" s="135" t="s">
        <v>19</v>
      </c>
      <c r="D252" s="142">
        <v>0</v>
      </c>
      <c r="E252" s="142">
        <v>3</v>
      </c>
      <c r="F252" s="142">
        <v>1</v>
      </c>
      <c r="G252" s="142">
        <v>78</v>
      </c>
      <c r="H252" s="135">
        <v>-100</v>
      </c>
      <c r="I252" s="135">
        <v>-98.72</v>
      </c>
      <c r="J252" s="135">
        <v>0</v>
      </c>
      <c r="K252" s="135">
        <v>0</v>
      </c>
      <c r="L252" s="135">
        <v>0.02</v>
      </c>
      <c r="M252" s="135">
        <v>7.0000000000000007E-2</v>
      </c>
    </row>
    <row r="253" spans="1:13">
      <c r="A253" s="135">
        <v>212</v>
      </c>
      <c r="B253" s="135" t="s">
        <v>1100</v>
      </c>
      <c r="C253" s="135" t="s">
        <v>19</v>
      </c>
      <c r="D253" s="142">
        <v>0</v>
      </c>
      <c r="E253" s="142">
        <v>0</v>
      </c>
      <c r="F253" s="142">
        <v>1</v>
      </c>
      <c r="G253" s="142">
        <v>35</v>
      </c>
      <c r="H253" s="135">
        <v>0</v>
      </c>
      <c r="I253" s="135">
        <v>-97.14</v>
      </c>
      <c r="J253" s="135">
        <v>0</v>
      </c>
      <c r="K253" s="135">
        <v>0</v>
      </c>
      <c r="L253" s="135">
        <v>0</v>
      </c>
      <c r="M253" s="135">
        <v>0.03</v>
      </c>
    </row>
    <row r="254" spans="1:13">
      <c r="A254" s="135">
        <v>213</v>
      </c>
      <c r="B254" s="135" t="s">
        <v>170</v>
      </c>
      <c r="C254" s="135" t="s">
        <v>19</v>
      </c>
      <c r="D254" s="142">
        <v>0</v>
      </c>
      <c r="E254" s="142">
        <v>0</v>
      </c>
      <c r="F254" s="142">
        <v>1</v>
      </c>
      <c r="G254" s="142">
        <v>2</v>
      </c>
      <c r="H254" s="135">
        <v>0</v>
      </c>
      <c r="I254" s="135">
        <v>-50</v>
      </c>
      <c r="J254" s="135">
        <v>0</v>
      </c>
      <c r="K254" s="135">
        <v>0</v>
      </c>
      <c r="L254" s="135">
        <v>0</v>
      </c>
      <c r="M254" s="135">
        <v>0</v>
      </c>
    </row>
    <row r="255" spans="1:13">
      <c r="A255" s="135">
        <v>214</v>
      </c>
      <c r="B255" s="135" t="s">
        <v>1135</v>
      </c>
      <c r="C255" s="135" t="s">
        <v>19</v>
      </c>
      <c r="D255" s="142">
        <v>0</v>
      </c>
      <c r="E255" s="142">
        <v>0</v>
      </c>
      <c r="F255" s="142">
        <v>1</v>
      </c>
      <c r="G255" s="142">
        <v>0</v>
      </c>
      <c r="H255" s="135">
        <v>0</v>
      </c>
      <c r="I255" s="135">
        <v>0</v>
      </c>
      <c r="J255" s="135">
        <v>0</v>
      </c>
      <c r="K255" s="135">
        <v>0</v>
      </c>
      <c r="L255" s="135">
        <v>0</v>
      </c>
      <c r="M255" s="135">
        <v>0</v>
      </c>
    </row>
    <row r="256" spans="1:13">
      <c r="A256" s="135">
        <v>215</v>
      </c>
      <c r="B256" s="135" t="s">
        <v>1217</v>
      </c>
      <c r="C256" s="135" t="s">
        <v>19</v>
      </c>
      <c r="D256" s="142">
        <v>0</v>
      </c>
      <c r="E256" s="142">
        <v>0</v>
      </c>
      <c r="F256" s="142">
        <v>1</v>
      </c>
      <c r="G256" s="142">
        <v>0</v>
      </c>
      <c r="H256" s="135">
        <v>0</v>
      </c>
      <c r="I256" s="135">
        <v>0</v>
      </c>
      <c r="J256" s="135">
        <v>0</v>
      </c>
      <c r="K256" s="135">
        <v>0</v>
      </c>
      <c r="L256" s="135">
        <v>0</v>
      </c>
      <c r="M256" s="135">
        <v>0</v>
      </c>
    </row>
    <row r="257" spans="1:13" hidden="1">
      <c r="A257" s="135">
        <v>216</v>
      </c>
      <c r="B257" s="135" t="s">
        <v>559</v>
      </c>
      <c r="C257" s="135" t="s">
        <v>20</v>
      </c>
      <c r="D257" s="142">
        <v>0</v>
      </c>
      <c r="E257" s="142">
        <v>3</v>
      </c>
      <c r="F257" s="142">
        <v>0</v>
      </c>
      <c r="G257" s="142">
        <v>60</v>
      </c>
      <c r="H257" s="135">
        <v>-100</v>
      </c>
      <c r="I257" s="135">
        <v>-100</v>
      </c>
      <c r="J257" s="135">
        <v>0</v>
      </c>
      <c r="K257" s="135">
        <v>0</v>
      </c>
      <c r="L257" s="135">
        <v>0.02</v>
      </c>
      <c r="M257" s="135">
        <v>0.06</v>
      </c>
    </row>
    <row r="258" spans="1:13">
      <c r="A258" s="135">
        <v>217</v>
      </c>
      <c r="B258" s="135" t="s">
        <v>233</v>
      </c>
      <c r="C258" s="135" t="s">
        <v>19</v>
      </c>
      <c r="D258" s="142">
        <v>0</v>
      </c>
      <c r="E258" s="142">
        <v>5</v>
      </c>
      <c r="F258" s="142">
        <v>0</v>
      </c>
      <c r="G258" s="142">
        <v>44</v>
      </c>
      <c r="H258" s="135">
        <v>-100</v>
      </c>
      <c r="I258" s="135">
        <v>-100</v>
      </c>
      <c r="J258" s="135">
        <v>0</v>
      </c>
      <c r="K258" s="135">
        <v>0</v>
      </c>
      <c r="L258" s="135">
        <v>0.04</v>
      </c>
      <c r="M258" s="135">
        <v>0.04</v>
      </c>
    </row>
    <row r="259" spans="1:13">
      <c r="A259" s="135">
        <v>218</v>
      </c>
      <c r="B259" s="135" t="s">
        <v>353</v>
      </c>
      <c r="C259" s="135" t="s">
        <v>19</v>
      </c>
      <c r="D259" s="142">
        <v>0</v>
      </c>
      <c r="E259" s="142">
        <v>0</v>
      </c>
      <c r="F259" s="142">
        <v>0</v>
      </c>
      <c r="G259" s="142">
        <v>18</v>
      </c>
      <c r="H259" s="135">
        <v>0</v>
      </c>
      <c r="I259" s="135">
        <v>-100</v>
      </c>
      <c r="J259" s="135">
        <v>0</v>
      </c>
      <c r="K259" s="135">
        <v>0</v>
      </c>
      <c r="L259" s="135">
        <v>0</v>
      </c>
      <c r="M259" s="135">
        <v>0.02</v>
      </c>
    </row>
    <row r="260" spans="1:13">
      <c r="A260" s="135">
        <v>219</v>
      </c>
      <c r="B260" s="135" t="s">
        <v>349</v>
      </c>
      <c r="C260" s="135" t="s">
        <v>19</v>
      </c>
      <c r="D260" s="142">
        <v>0</v>
      </c>
      <c r="E260" s="142">
        <v>0</v>
      </c>
      <c r="F260" s="142">
        <v>0</v>
      </c>
      <c r="G260" s="142">
        <v>11</v>
      </c>
      <c r="H260" s="135">
        <v>0</v>
      </c>
      <c r="I260" s="135">
        <v>-100</v>
      </c>
      <c r="J260" s="135">
        <v>0</v>
      </c>
      <c r="K260" s="135">
        <v>0</v>
      </c>
      <c r="L260" s="135">
        <v>0</v>
      </c>
      <c r="M260" s="135">
        <v>0.01</v>
      </c>
    </row>
    <row r="261" spans="1:13">
      <c r="A261" s="135">
        <v>220</v>
      </c>
      <c r="B261" s="135" t="s">
        <v>381</v>
      </c>
      <c r="C261" s="135" t="s">
        <v>19</v>
      </c>
      <c r="D261" s="142">
        <v>0</v>
      </c>
      <c r="E261" s="142">
        <v>0</v>
      </c>
      <c r="F261" s="142">
        <v>0</v>
      </c>
      <c r="G261" s="142">
        <v>10</v>
      </c>
      <c r="H261" s="135">
        <v>0</v>
      </c>
      <c r="I261" s="135">
        <v>-100</v>
      </c>
      <c r="J261" s="135">
        <v>0</v>
      </c>
      <c r="K261" s="135">
        <v>0</v>
      </c>
      <c r="L261" s="135">
        <v>0</v>
      </c>
      <c r="M261" s="135">
        <v>0.01</v>
      </c>
    </row>
    <row r="262" spans="1:13" hidden="1">
      <c r="A262" s="135">
        <v>221</v>
      </c>
      <c r="B262" s="135" t="s">
        <v>402</v>
      </c>
      <c r="C262" s="135" t="s">
        <v>1062</v>
      </c>
      <c r="D262" s="142">
        <v>0</v>
      </c>
      <c r="E262" s="142">
        <v>0</v>
      </c>
      <c r="F262" s="142">
        <v>0</v>
      </c>
      <c r="G262" s="142">
        <v>8</v>
      </c>
      <c r="H262" s="135">
        <v>0</v>
      </c>
      <c r="I262" s="135">
        <v>-100</v>
      </c>
      <c r="J262" s="135">
        <v>0</v>
      </c>
      <c r="K262" s="135">
        <v>0</v>
      </c>
      <c r="L262" s="135">
        <v>0</v>
      </c>
      <c r="M262" s="135">
        <v>0.01</v>
      </c>
    </row>
    <row r="263" spans="1:13">
      <c r="A263" s="135">
        <v>222</v>
      </c>
      <c r="B263" s="135" t="s">
        <v>204</v>
      </c>
      <c r="C263" s="135" t="s">
        <v>19</v>
      </c>
      <c r="D263" s="142">
        <v>0</v>
      </c>
      <c r="E263" s="142">
        <v>2</v>
      </c>
      <c r="F263" s="142">
        <v>0</v>
      </c>
      <c r="G263" s="142">
        <v>8</v>
      </c>
      <c r="H263" s="135">
        <v>-100</v>
      </c>
      <c r="I263" s="135">
        <v>-100</v>
      </c>
      <c r="J263" s="135">
        <v>0</v>
      </c>
      <c r="K263" s="135">
        <v>0</v>
      </c>
      <c r="L263" s="135">
        <v>0.02</v>
      </c>
      <c r="M263" s="135">
        <v>0.01</v>
      </c>
    </row>
    <row r="264" spans="1:13" hidden="1">
      <c r="A264" s="135">
        <v>223</v>
      </c>
      <c r="B264" s="135" t="s">
        <v>1152</v>
      </c>
      <c r="C264" s="135" t="s">
        <v>20</v>
      </c>
      <c r="D264" s="142">
        <v>0</v>
      </c>
      <c r="E264" s="142">
        <v>0</v>
      </c>
      <c r="F264" s="142">
        <v>0</v>
      </c>
      <c r="G264" s="142">
        <v>7</v>
      </c>
      <c r="H264" s="135">
        <v>0</v>
      </c>
      <c r="I264" s="135">
        <v>-100</v>
      </c>
      <c r="J264" s="135">
        <v>0</v>
      </c>
      <c r="K264" s="135">
        <v>0</v>
      </c>
      <c r="L264" s="135">
        <v>0</v>
      </c>
      <c r="M264" s="135">
        <v>0.01</v>
      </c>
    </row>
    <row r="265" spans="1:13">
      <c r="A265" s="135">
        <v>224</v>
      </c>
      <c r="B265" s="135" t="s">
        <v>1160</v>
      </c>
      <c r="C265" s="135" t="s">
        <v>19</v>
      </c>
      <c r="D265" s="142">
        <v>0</v>
      </c>
      <c r="E265" s="142">
        <v>0</v>
      </c>
      <c r="F265" s="142">
        <v>0</v>
      </c>
      <c r="G265" s="142">
        <v>6</v>
      </c>
      <c r="H265" s="135">
        <v>0</v>
      </c>
      <c r="I265" s="135">
        <v>-100</v>
      </c>
      <c r="J265" s="135">
        <v>0</v>
      </c>
      <c r="K265" s="135">
        <v>0</v>
      </c>
      <c r="L265" s="135">
        <v>0</v>
      </c>
      <c r="M265" s="135">
        <v>0.01</v>
      </c>
    </row>
    <row r="266" spans="1:13">
      <c r="A266" s="135">
        <v>225</v>
      </c>
      <c r="B266" s="135" t="s">
        <v>1136</v>
      </c>
      <c r="C266" s="135" t="s">
        <v>19</v>
      </c>
      <c r="D266" s="142">
        <v>0</v>
      </c>
      <c r="E266" s="142">
        <v>0</v>
      </c>
      <c r="F266" s="142">
        <v>0</v>
      </c>
      <c r="G266" s="142">
        <v>4</v>
      </c>
      <c r="H266" s="135">
        <v>0</v>
      </c>
      <c r="I266" s="135">
        <v>-100</v>
      </c>
      <c r="J266" s="135">
        <v>0</v>
      </c>
      <c r="K266" s="135">
        <v>0</v>
      </c>
      <c r="L266" s="135">
        <v>0</v>
      </c>
      <c r="M266" s="135">
        <v>0</v>
      </c>
    </row>
    <row r="267" spans="1:13">
      <c r="A267" s="135">
        <v>226</v>
      </c>
      <c r="B267" s="135" t="s">
        <v>1101</v>
      </c>
      <c r="C267" s="135" t="s">
        <v>19</v>
      </c>
      <c r="D267" s="142">
        <v>0</v>
      </c>
      <c r="E267" s="142">
        <v>0</v>
      </c>
      <c r="F267" s="142">
        <v>0</v>
      </c>
      <c r="G267" s="142">
        <v>3</v>
      </c>
      <c r="H267" s="135">
        <v>0</v>
      </c>
      <c r="I267" s="135">
        <v>-100</v>
      </c>
      <c r="J267" s="135">
        <v>0</v>
      </c>
      <c r="K267" s="135">
        <v>0</v>
      </c>
      <c r="L267" s="135">
        <v>0</v>
      </c>
      <c r="M267" s="135">
        <v>0</v>
      </c>
    </row>
    <row r="268" spans="1:13" hidden="1">
      <c r="A268" s="135">
        <v>227</v>
      </c>
      <c r="B268" s="135" t="s">
        <v>1218</v>
      </c>
      <c r="C268" s="135" t="s">
        <v>239</v>
      </c>
      <c r="D268" s="142">
        <v>0</v>
      </c>
      <c r="E268" s="142">
        <v>0</v>
      </c>
      <c r="F268" s="142">
        <v>0</v>
      </c>
      <c r="G268" s="142">
        <v>2</v>
      </c>
      <c r="H268" s="135">
        <v>0</v>
      </c>
      <c r="I268" s="135">
        <v>-100</v>
      </c>
      <c r="J268" s="135">
        <v>0</v>
      </c>
      <c r="K268" s="135">
        <v>0</v>
      </c>
      <c r="L268" s="135">
        <v>0</v>
      </c>
      <c r="M268" s="135">
        <v>0</v>
      </c>
    </row>
    <row r="269" spans="1:13">
      <c r="A269" s="135"/>
      <c r="B269" s="135" t="s">
        <v>454</v>
      </c>
      <c r="C269" s="135"/>
      <c r="D269" s="142">
        <f>SUBTOTAL(109,getAggRechargeModels619[antalPerioden])</f>
        <v>5337</v>
      </c>
      <c r="E269" s="142">
        <f>SUBTOTAL(109,getAggRechargeModels619[antalFGPeriod])</f>
        <v>4370</v>
      </c>
      <c r="F269" s="142">
        <f>SUBTOTAL(109,getAggRechargeModels619[antalÅret])</f>
        <v>42908</v>
      </c>
      <c r="G269" s="142">
        <f>SUBTOTAL(109,getAggRechargeModels619[antalFGAr])</f>
        <v>47336</v>
      </c>
      <c r="H269" s="137">
        <f>IF(getAggRechargeModels619[[#Totals],[antalFGPeriod]] &gt;0,(getAggRechargeModels619[[#Totals],[antalPerioden]] - getAggRechargeModels619[[#Totals],[antalFGPeriod]] ) / getAggRechargeModels619[[#Totals],[antalFGPeriod]] *100,0)</f>
        <v>22.128146453089244</v>
      </c>
      <c r="I269" s="137">
        <f>IF(getAggRechargeModels619[[#Totals],[antalFGAr]] &gt; 0,( getAggRechargeModels619[[#Totals],[antalÅret]] - getAggRechargeModels619[[#Totals],[antalFGAr]] ) / getAggRechargeModels619[[#Totals],[antalFGAr]] * 100,0)</f>
        <v>-9.3544025688693591</v>
      </c>
      <c r="J269" s="143">
        <f>IF(getAggModelsPB[[#Totals],[antalPerioden]] &gt; 0,getAggRechargeModels619[[#Totals],[antalPerioden]]  / getAggModelsPB[[#Totals],[antalPerioden]] * 100,0)</f>
        <v>18.969255375866361</v>
      </c>
      <c r="K269" s="143">
        <f>IF(getAggModelsPB[[#Totals],[antalÅret]] &gt; 0,getAggRechargeModels619[[#Totals],[antalÅret]]  / getAggModelsPB[[#Totals],[antalÅret]] * 100,0)</f>
        <v>20.435397606313312</v>
      </c>
      <c r="L269" s="143">
        <f>IF(getAggModelsPB[[#Totals],[antalFGPeriod]] &gt; 0,getAggRechargeModels619[[#Totals],[antalFGPeriod]]  / getAggModelsPB[[#Totals],[antalFGPeriod]] * 100,0)</f>
        <v>19.820391872278663</v>
      </c>
      <c r="M269" s="143">
        <f>IF(getAggModelsPB[[#Totals],[antalFGAr]] &gt; 0,getAggRechargeModels619[[#Totals],[antalFGAr]]  / getAggModelsPB[[#Totals],[antalFGAr]] * 100,0)</f>
        <v>23.131352619233777</v>
      </c>
    </row>
    <row r="271" spans="1:13">
      <c r="D271" t="s">
        <v>1327</v>
      </c>
    </row>
    <row r="272" spans="1:13">
      <c r="A272" t="s">
        <v>678</v>
      </c>
    </row>
  </sheetData>
  <mergeCells count="6">
    <mergeCell ref="H37:M37"/>
    <mergeCell ref="D38:E38"/>
    <mergeCell ref="F38:G38"/>
    <mergeCell ref="H38:I38"/>
    <mergeCell ref="J38:K38"/>
    <mergeCell ref="L38:M38"/>
  </mergeCells>
  <dataValidations count="3">
    <dataValidation allowBlank="1" showInputMessage="1" showErrorMessage="1" prompt="förändring i antalet registreringar ackumulerat från årets början t.o.m den aktuella månaden." sqref="I39" xr:uid="{00000000-0002-0000-0800-000000000000}"/>
    <dataValidation allowBlank="1" showInputMessage="1" showErrorMessage="1" prompt="visar antalet registreringar för den aktuella månaden i år." sqref="D39:G39" xr:uid="{00000000-0002-0000-0800-000001000000}"/>
    <dataValidation allowBlank="1" showInputMessage="1" showErrorMessage="1" prompt="förändring i marknads-andelen ackumulerat från årets början t.o.m den aktuella månaden." sqref="K39 B39" xr:uid="{00000000-0002-0000-0800-000002000000}"/>
  </dataValidations>
  <pageMargins left="0.7" right="0.7" top="0.75" bottom="0.75" header="0.3" footer="0.3"/>
  <pageSetup paperSize="9"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D F J X U i f o L l W o A A A A + A A A A B I A H A B D b 2 5 m a W c v U G F j a 2 F n Z S 5 4 b W w g o h g A K K A U A A A A A A A A A A A A A A A A A A A A A A A A A A A A h Y / R C o I w G I V f R X b v 5 l Z J y e + 8 i O 4 S A i G 6 H b p 0 p D P c d L 5 b F z 1 S r 5 B Q V n d d n s N 3 4 D u P 2 x 2 S s a m 9 Q X Z G t T p G F A f I k z p v C 6 X L G P X 2 7 K 9 R w u E g 8 o s o p T f B 2 k S j U T G q r L 1 G h D j n s F v g t i s J C w J K T u k + y y v Z C F 9 p Y 4 X O J f q s i v 8 r x O H 4 k u E M h x S v 6 I b h Z U i B z D W k S n 8 R N h n j A M h P C d u + t n 0 n u R n 8 b A d k j k D e L / g T U E s D B B Q A A g A I A A x S V 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U l d S K I p H u A 4 A A A A R A A A A E w A c A E Z v c m 1 1 b G F z L 1 N l Y 3 R p b 2 4 x L m 0 g o h g A K K A U A A A A A A A A A A A A A A A A A A A A A A A A A A A A K 0 5 N L s n M z 1 M I h t C G 1 g B Q S w E C L Q A U A A I A C A A M U l d S J + g u V a g A A A D 4 A A A A E g A A A A A A A A A A A A A A A A A A A A A A Q 2 9 u Z m l n L 1 B h Y 2 t h Z 2 U u e G 1 s U E s B A i 0 A F A A C A A g A D F J X U g / K 6 a u k A A A A 6 Q A A A B M A A A A A A A A A A A A A A A A A 9 A A A A F t D b 2 5 0 Z W 5 0 X 1 R 5 c G V z X S 5 4 b W x Q S w E C L Q A U A A I A C A A M U l d S 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y U M F m Z y j U + c E I n L D b z R q Q A A A A A C A A A A A A A Q Z g A A A A E A A C A A A A D X b l z R w y j k 6 O 0 z j h k x O r g k T V c A x e u F i C T B x 9 y T v Y 4 R e g A A A A A O g A A A A A I A A C A A A A B f 5 S E y n N F k A b / o E d g Z E o X 2 Q F q m O d v M 1 N p z 9 R Y c G 7 a 7 z l A A A A D w A K m 5 6 V e S H b 5 G 1 c U Z 0 k B z B A R 7 1 g 4 B / A T H O k 7 W L F w a d Z Z E 9 w b N x y 7 9 4 / A u 4 C a D 8 w L 9 K 3 T r D m 1 2 K T t i E u 5 z j s M z G X 8 9 P 7 l u h J / 7 B h h A I z H t n U A A A A A T 8 M m c e n 2 M t R P p A / q W T n q g e U h N 3 B f U u R B U c q + 4 5 f 4 I q R M + V y M k D n N S T c d P L 5 d F V g n U X O G 7 6 b x G G 1 7 l U G o q h O H M < / D a t a M a s h u p > 
</file>

<file path=customXml/itemProps1.xml><?xml version="1.0" encoding="utf-8"?>
<ds:datastoreItem xmlns:ds="http://schemas.openxmlformats.org/officeDocument/2006/customXml" ds:itemID="{95AC8CA9-3764-4745-A8C9-3591E01590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20</vt:i4>
      </vt:variant>
      <vt:variant>
        <vt:lpstr>Namngivna områden</vt:lpstr>
      </vt:variant>
      <vt:variant>
        <vt:i4>79</vt:i4>
      </vt:variant>
    </vt:vector>
  </HeadingPairs>
  <TitlesOfParts>
    <vt:vector size="99" baseType="lpstr">
      <vt:lpstr>Innehåll</vt:lpstr>
      <vt:lpstr>A. Personbilar</vt:lpstr>
      <vt:lpstr>A.1 Rankinglista PB</vt:lpstr>
      <vt:lpstr>A.2 Fabrikat och modeller PB</vt:lpstr>
      <vt:lpstr>A.3 Generalagenter PB</vt:lpstr>
      <vt:lpstr>A.4 Drivmedel PB</vt:lpstr>
      <vt:lpstr>A.5 Laddbara PB</vt:lpstr>
      <vt:lpstr>A.51 Elbilar PB</vt:lpstr>
      <vt:lpstr>A.52 Laddhybrider PB</vt:lpstr>
      <vt:lpstr>A.7 Koldioxidutsläpp PB</vt:lpstr>
      <vt:lpstr>A.8 Fysiska-Juridiska</vt:lpstr>
      <vt:lpstr>B. Lastbilar</vt:lpstr>
      <vt:lpstr>B.1 Lätta lastbilar</vt:lpstr>
      <vt:lpstr>B.2 Fabrikat LLB</vt:lpstr>
      <vt:lpstr>B.3 Eldrivna LLB</vt:lpstr>
      <vt:lpstr>B.4 Tunga lastbilar</vt:lpstr>
      <vt:lpstr>B.5 Fabrikatlista TLB</vt:lpstr>
      <vt:lpstr>C. Bussar</vt:lpstr>
      <vt:lpstr>C.1 Eldrivna bussar</vt:lpstr>
      <vt:lpstr>C.2 Privatimporterade bussar</vt:lpstr>
      <vt:lpstr>AndelBensin</vt:lpstr>
      <vt:lpstr>AndelBUSSYTD</vt:lpstr>
      <vt:lpstr>AndelDiesel</vt:lpstr>
      <vt:lpstr>AndelEl</vt:lpstr>
      <vt:lpstr>AndelELbilarYTD</vt:lpstr>
      <vt:lpstr>AndelELFGAR</vt:lpstr>
      <vt:lpstr>AndelLaddbaraYTD</vt:lpstr>
      <vt:lpstr>AndelLaddhybrid</vt:lpstr>
      <vt:lpstr>AndelLaddhybriderYTD</vt:lpstr>
      <vt:lpstr>AndelLaddhybridFGAR</vt:lpstr>
      <vt:lpstr>AntalBUSSELFGAR</vt:lpstr>
      <vt:lpstr>AntalBUSSELYTD</vt:lpstr>
      <vt:lpstr>AntalBUSSYTD</vt:lpstr>
      <vt:lpstr>AntalBUSSYTDFGAR</vt:lpstr>
      <vt:lpstr>AntalElbilar</vt:lpstr>
      <vt:lpstr>AntalElbilarFGAr</vt:lpstr>
      <vt:lpstr>AntalElbilarYTD</vt:lpstr>
      <vt:lpstr>AntalElbilarYTDFGAR</vt:lpstr>
      <vt:lpstr>AntalELBUSS</vt:lpstr>
      <vt:lpstr>AntalELBUSSFGAR</vt:lpstr>
      <vt:lpstr>AntalLaddhybrider</vt:lpstr>
      <vt:lpstr>AntalLaddhybriderFGAr</vt:lpstr>
      <vt:lpstr>AntalLaddhybriderYTD</vt:lpstr>
      <vt:lpstr>AntalLaddhybriderYTDFGAR</vt:lpstr>
      <vt:lpstr>AntalLBTotaltYTD</vt:lpstr>
      <vt:lpstr>antalLBTotaltYTDFGAR</vt:lpstr>
      <vt:lpstr>AntalLLBEL</vt:lpstr>
      <vt:lpstr>AntalLLBELFGAR</vt:lpstr>
      <vt:lpstr>AntalLLBELYTD</vt:lpstr>
      <vt:lpstr>AntalLLBELYTDFGAR</vt:lpstr>
      <vt:lpstr>AntalLLBYTD</vt:lpstr>
      <vt:lpstr>AntalLLBYTDFGAR</vt:lpstr>
      <vt:lpstr>AntalTLBYTD</vt:lpstr>
      <vt:lpstr>AntalTLBYTDFGAR</vt:lpstr>
      <vt:lpstr>AntalTotaltYTD</vt:lpstr>
      <vt:lpstr>AntalTotaltYTDFGAR</vt:lpstr>
      <vt:lpstr>Aret</vt:lpstr>
      <vt:lpstr>ChangeBUSSELYTD</vt:lpstr>
      <vt:lpstr>ChangeLLBELYTD</vt:lpstr>
      <vt:lpstr>'A.2 Fabrikat och modeller PB'!CntPeriod</vt:lpstr>
      <vt:lpstr>'A.2 Fabrikat och modeller PB'!CntPeriodPrevYear</vt:lpstr>
      <vt:lpstr>'A.2 Fabrikat och modeller PB'!CntPrevYearAck</vt:lpstr>
      <vt:lpstr>'A.2 Fabrikat och modeller PB'!CntYearAck</vt:lpstr>
      <vt:lpstr>FGAr</vt:lpstr>
      <vt:lpstr>HeaderDates</vt:lpstr>
      <vt:lpstr>'A.2 Fabrikat och modeller PB'!Heading1</vt:lpstr>
      <vt:lpstr>ManadAr</vt:lpstr>
      <vt:lpstr>Manaden</vt:lpstr>
      <vt:lpstr>ManadenKort</vt:lpstr>
      <vt:lpstr>ManFranTill</vt:lpstr>
      <vt:lpstr>'A.2 Fabrikat och modeller PB'!MsharePrevYear</vt:lpstr>
      <vt:lpstr>'A.2 Fabrikat och modeller PB'!MsharePrevYearAck</vt:lpstr>
      <vt:lpstr>'A.2 Fabrikat och modeller PB'!MshareYear</vt:lpstr>
      <vt:lpstr>'A.2 Fabrikat och modeller PB'!MshareYearAck</vt:lpstr>
      <vt:lpstr>PerAr</vt:lpstr>
      <vt:lpstr>PerFranTillAret</vt:lpstr>
      <vt:lpstr>PerFranTillFGAr</vt:lpstr>
      <vt:lpstr>Perioden</vt:lpstr>
      <vt:lpstr>PeriodenFGAr</vt:lpstr>
      <vt:lpstr>'A.2 Fabrikat och modeller PB'!RegDagar</vt:lpstr>
      <vt:lpstr>'A.2 Fabrikat och modeller PB'!RegPerDag</vt:lpstr>
      <vt:lpstr>'A.2 Fabrikat och modeller PB'!RegPeriod</vt:lpstr>
      <vt:lpstr>'A.2 Fabrikat och modeller PB'!RegPerManad</vt:lpstr>
      <vt:lpstr>'A.2 Fabrikat och modeller PB'!RegPrevYear</vt:lpstr>
      <vt:lpstr>'A.2 Fabrikat och modeller PB'!RegPrevYearAck</vt:lpstr>
      <vt:lpstr>'A.2 Fabrikat och modeller PB'!RegYear</vt:lpstr>
      <vt:lpstr>'A.2 Fabrikat och modeller PB'!RegYearAck</vt:lpstr>
      <vt:lpstr>Innehåll!SprValSidfot</vt:lpstr>
      <vt:lpstr>'A.2 Fabrikat och modeller PB'!TextLastLine</vt:lpstr>
      <vt:lpstr>Innehåll!Utskriftsområde</vt:lpstr>
      <vt:lpstr>'A.1 Rankinglista PB'!Utskriftsrubriker</vt:lpstr>
      <vt:lpstr>'A.3 Generalagenter PB'!Utskriftsrubriker</vt:lpstr>
      <vt:lpstr>'A.5 Laddbara PB'!Utskriftsrubriker</vt:lpstr>
      <vt:lpstr>'A.8 Fysiska-Juridiska'!Utskriftsrubriker</vt:lpstr>
      <vt:lpstr>'B.2 Fabrikat LLB'!Utskriftsrubriker</vt:lpstr>
      <vt:lpstr>'B.3 Eldrivna LLB'!Utskriftsrubriker</vt:lpstr>
      <vt:lpstr>'C.2 Privatimporterade bussar'!Utskriftsrubriker</vt:lpstr>
      <vt:lpstr>YTDAret</vt:lpstr>
      <vt:lpstr>YTDFGAr</vt:lpstr>
    </vt:vector>
  </TitlesOfParts>
  <Manager>jan@branschdata.se</Manager>
  <Company>BranschData Software 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Nyregistreringsstatstik</dc:title>
  <dc:creator>BranschData Software AB</dc:creator>
  <cp:lastModifiedBy>Sofia Linder</cp:lastModifiedBy>
  <cp:lastPrinted>2022-09-06T10:01:43Z</cp:lastPrinted>
  <dcterms:created xsi:type="dcterms:W3CDTF">2020-01-13T13:32:32Z</dcterms:created>
  <dcterms:modified xsi:type="dcterms:W3CDTF">2023-10-02T13:15:48Z</dcterms:modified>
</cp:coreProperties>
</file>