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3.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8.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29.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JAN24/"/>
    </mc:Choice>
  </mc:AlternateContent>
  <xr:revisionPtr revIDLastSave="5" documentId="8_{816B5998-233A-CD41-A59E-92D0D6E99B51}" xr6:coauthVersionLast="47" xr6:coauthVersionMax="47" xr10:uidLastSave="{4DAF34D6-2F1B-EF4D-B0C3-3C6311351751}"/>
  <bookViews>
    <workbookView xWindow="36340" yWindow="3920" windowWidth="26080" windowHeight="17140" tabRatio="773" xr2:uid="{00000000-000D-0000-FFFF-FFFF00000000}"/>
  </bookViews>
  <sheets>
    <sheet name="Innehåll" sheetId="1" r:id="rId1"/>
    <sheet name="A. Personbilar" sheetId="2" r:id="rId2"/>
    <sheet name="A.1 Rankinglista PB" sheetId="8" r:id="rId3"/>
    <sheet name="A.2 Fabrikat och modeller PB" sheetId="57"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LLB'!$A$7:$L$29</definedName>
    <definedName name="bdsql12_BDmodell_getAggRechargeModels_1" localSheetId="6" hidden="1">'A.5 Laddbara PB'!$A$41:$M$238</definedName>
    <definedName name="bdsql12_BDmodell_getAggRechargeModels_1" localSheetId="7" hidden="1">'A.51 Elbilar PB'!$A$39:$M$236</definedName>
    <definedName name="bdsql12_BDmodell_getAggRechargeModels_1" localSheetId="8" hidden="1">'A.52 Laddhybrider PB'!$A$40:$M$237</definedName>
    <definedName name="bdsql12_BDmodell_PB" localSheetId="2" hidden="1">'A.1 Rankinglista PB'!$A$7:$L$311</definedName>
    <definedName name="bdsql12_BDnewRegistrations_getAggBuss" localSheetId="17" hidden="1">'C. Bussar'!#REF!</definedName>
    <definedName name="bdsql12_BDnewRegistrations_getAggBussEL" localSheetId="18" hidden="1">'C.1 Eldrivna bussar'!$A$7:$I$10</definedName>
    <definedName name="bdsql12_BDnewRegistrations_getAggFysJur" localSheetId="10" hidden="1">'A.8 Fysiska-Juridiska'!$A$8:$Q$62</definedName>
    <definedName name="bdsql12_BDnewRegistrations_getAggMakes" localSheetId="13" hidden="1">'B.2 Fabrikat LLB'!$A$7:$I$27</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PB'!$A$10:$G$18</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PB'!$E$369</definedName>
    <definedName name="CntPeriod">#REF!</definedName>
    <definedName name="CntPeriodPrevYear" localSheetId="3">'A.2 Fabrikat och modeller PB'!$F$369</definedName>
    <definedName name="CntPeriodPrevYear">#REF!</definedName>
    <definedName name="CntPrevYear" localSheetId="3">'A.2 Fabrikat och modeller PB'!#REF!</definedName>
    <definedName name="CntPrevYear">#REF!</definedName>
    <definedName name="CntPrevYearAck" localSheetId="3">'A.2 Fabrikat och modeller PB'!$K$369</definedName>
    <definedName name="CntPrevYearAck">#REF!</definedName>
    <definedName name="CntYearAck" localSheetId="3">'A.2 Fabrikat och modeller PB'!$J$369</definedName>
    <definedName name="CntYearAck">#REF!</definedName>
    <definedName name="ExternalData_1" localSheetId="5" hidden="1">'A.4 Drivmedel PB'!$A$7:$G$15</definedName>
    <definedName name="ExternalData_1" localSheetId="16" hidden="1">'B.5 Fabrikatlista TLB'!$A$7:$I$13</definedName>
    <definedName name="ExternalData_1" localSheetId="17" hidden="1">'C. Bussar'!$A$31:$I$39</definedName>
    <definedName name="ExternalData_2" localSheetId="17" hidden="1">'C. Bussar'!$A$8:$I$17</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PB'!$B$370</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0" r:id="rId21"/>
    <pivotCache cacheId="1" r:id="rId22"/>
    <pivotCache cacheId="2"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9" i="57" l="1"/>
  <c r="J369" i="57"/>
  <c r="L370" i="57" s="1"/>
  <c r="F369" i="57"/>
  <c r="E369" i="57"/>
  <c r="G370" i="57" s="1"/>
  <c r="N367" i="57"/>
  <c r="L367" i="57"/>
  <c r="I367" i="57"/>
  <c r="G367" i="57"/>
  <c r="C367" i="57"/>
  <c r="N366" i="57"/>
  <c r="L366" i="57"/>
  <c r="I366" i="57"/>
  <c r="G366" i="57"/>
  <c r="C366" i="57"/>
  <c r="N365" i="57"/>
  <c r="M365" i="57"/>
  <c r="L365" i="57"/>
  <c r="I365" i="57"/>
  <c r="H365" i="57"/>
  <c r="G365" i="57"/>
  <c r="C365" i="57"/>
  <c r="N364" i="57"/>
  <c r="M364" i="57"/>
  <c r="L364" i="57"/>
  <c r="I364" i="57"/>
  <c r="H364" i="57"/>
  <c r="G364" i="57"/>
  <c r="C364" i="57"/>
  <c r="N363" i="57"/>
  <c r="M363" i="57"/>
  <c r="L363" i="57"/>
  <c r="I363" i="57"/>
  <c r="H363" i="57"/>
  <c r="G363" i="57"/>
  <c r="C363" i="57"/>
  <c r="N362" i="57"/>
  <c r="M362" i="57"/>
  <c r="L362" i="57"/>
  <c r="I362" i="57"/>
  <c r="H362" i="57"/>
  <c r="G362" i="57"/>
  <c r="C362" i="57"/>
  <c r="N361" i="57"/>
  <c r="M361" i="57"/>
  <c r="L361" i="57"/>
  <c r="I361" i="57"/>
  <c r="H361" i="57"/>
  <c r="G361" i="57"/>
  <c r="C361" i="57"/>
  <c r="N360" i="57"/>
  <c r="M360" i="57"/>
  <c r="L360" i="57"/>
  <c r="I360" i="57"/>
  <c r="H360" i="57"/>
  <c r="G360" i="57"/>
  <c r="C360" i="57"/>
  <c r="N359" i="57"/>
  <c r="M359" i="57"/>
  <c r="L359" i="57"/>
  <c r="I359" i="57"/>
  <c r="H359" i="57"/>
  <c r="G359" i="57"/>
  <c r="C359" i="57"/>
  <c r="N358" i="57"/>
  <c r="M358" i="57"/>
  <c r="L358" i="57"/>
  <c r="I358" i="57"/>
  <c r="H358" i="57"/>
  <c r="G358" i="57"/>
  <c r="C358" i="57"/>
  <c r="N357" i="57"/>
  <c r="M357" i="57"/>
  <c r="L357" i="57"/>
  <c r="I357" i="57"/>
  <c r="H357" i="57"/>
  <c r="G357" i="57"/>
  <c r="C357" i="57"/>
  <c r="N356" i="57"/>
  <c r="L356" i="57"/>
  <c r="I356" i="57"/>
  <c r="G356" i="57"/>
  <c r="C356" i="57"/>
  <c r="N355" i="57"/>
  <c r="M355" i="57"/>
  <c r="L355" i="57"/>
  <c r="I355" i="57"/>
  <c r="G355" i="57"/>
  <c r="C355" i="57"/>
  <c r="N354" i="57"/>
  <c r="M354" i="57"/>
  <c r="L354" i="57"/>
  <c r="I354" i="57"/>
  <c r="H354" i="57"/>
  <c r="G354" i="57"/>
  <c r="C354" i="57"/>
  <c r="N353" i="57"/>
  <c r="M353" i="57"/>
  <c r="L353" i="57"/>
  <c r="I353" i="57"/>
  <c r="H353" i="57"/>
  <c r="G353" i="57"/>
  <c r="C353" i="57"/>
  <c r="N352" i="57"/>
  <c r="L352" i="57"/>
  <c r="I352" i="57"/>
  <c r="H352" i="57"/>
  <c r="G352" i="57"/>
  <c r="C352" i="57"/>
  <c r="N351" i="57"/>
  <c r="L351" i="57"/>
  <c r="I351" i="57"/>
  <c r="H351" i="57"/>
  <c r="G351" i="57"/>
  <c r="C351" i="57"/>
  <c r="N350" i="57"/>
  <c r="L350" i="57"/>
  <c r="I350" i="57"/>
  <c r="H350" i="57"/>
  <c r="G350" i="57"/>
  <c r="C350" i="57"/>
  <c r="N349" i="57"/>
  <c r="M349" i="57"/>
  <c r="L349" i="57"/>
  <c r="I349" i="57"/>
  <c r="H349" i="57"/>
  <c r="G349" i="57"/>
  <c r="C349" i="57"/>
  <c r="N348" i="57"/>
  <c r="M348" i="57"/>
  <c r="L348" i="57"/>
  <c r="I348" i="57"/>
  <c r="G348" i="57"/>
  <c r="C348" i="57"/>
  <c r="N347" i="57"/>
  <c r="M347" i="57"/>
  <c r="L347" i="57"/>
  <c r="I347" i="57"/>
  <c r="G347" i="57"/>
  <c r="C347" i="57"/>
  <c r="N346" i="57"/>
  <c r="M346" i="57"/>
  <c r="L346" i="57"/>
  <c r="I346" i="57"/>
  <c r="H346" i="57"/>
  <c r="G346" i="57"/>
  <c r="C346" i="57"/>
  <c r="N345" i="57"/>
  <c r="M345" i="57"/>
  <c r="L345" i="57"/>
  <c r="I345" i="57"/>
  <c r="H345" i="57"/>
  <c r="G345" i="57"/>
  <c r="C345" i="57"/>
  <c r="N344" i="57"/>
  <c r="M344" i="57"/>
  <c r="L344" i="57"/>
  <c r="I344" i="57"/>
  <c r="H344" i="57"/>
  <c r="G344" i="57"/>
  <c r="C344" i="57"/>
  <c r="N343" i="57"/>
  <c r="M343" i="57"/>
  <c r="L343" i="57"/>
  <c r="I343" i="57"/>
  <c r="H343" i="57"/>
  <c r="G343" i="57"/>
  <c r="C343" i="57"/>
  <c r="N342" i="57"/>
  <c r="L342" i="57"/>
  <c r="I342" i="57"/>
  <c r="H342" i="57"/>
  <c r="G342" i="57"/>
  <c r="C342" i="57"/>
  <c r="N341" i="57"/>
  <c r="M341" i="57"/>
  <c r="L341" i="57"/>
  <c r="I341" i="57"/>
  <c r="H341" i="57"/>
  <c r="G341" i="57"/>
  <c r="C341" i="57"/>
  <c r="N340" i="57"/>
  <c r="M340" i="57"/>
  <c r="L340" i="57"/>
  <c r="I340" i="57"/>
  <c r="H340" i="57"/>
  <c r="G340" i="57"/>
  <c r="C340" i="57"/>
  <c r="N339" i="57"/>
  <c r="M339" i="57"/>
  <c r="L339" i="57"/>
  <c r="I339" i="57"/>
  <c r="G339" i="57"/>
  <c r="C339" i="57"/>
  <c r="N338" i="57"/>
  <c r="M338" i="57"/>
  <c r="L338" i="57"/>
  <c r="I338" i="57"/>
  <c r="H338" i="57"/>
  <c r="G338" i="57"/>
  <c r="C338" i="57"/>
  <c r="N337" i="57"/>
  <c r="M337" i="57"/>
  <c r="L337" i="57"/>
  <c r="I337" i="57"/>
  <c r="H337" i="57"/>
  <c r="G337" i="57"/>
  <c r="C337" i="57"/>
  <c r="N336" i="57"/>
  <c r="M336" i="57"/>
  <c r="L336" i="57"/>
  <c r="I336" i="57"/>
  <c r="H336" i="57"/>
  <c r="G336" i="57"/>
  <c r="C336" i="57"/>
  <c r="N335" i="57"/>
  <c r="M335" i="57"/>
  <c r="L335" i="57"/>
  <c r="I335" i="57"/>
  <c r="H335" i="57"/>
  <c r="G335" i="57"/>
  <c r="C335" i="57"/>
  <c r="N334" i="57"/>
  <c r="L334" i="57"/>
  <c r="I334" i="57"/>
  <c r="H334" i="57"/>
  <c r="G334" i="57"/>
  <c r="C334" i="57"/>
  <c r="N333" i="57"/>
  <c r="M333" i="57"/>
  <c r="L333" i="57"/>
  <c r="I333" i="57"/>
  <c r="H333" i="57"/>
  <c r="G333" i="57"/>
  <c r="C333" i="57"/>
  <c r="N332" i="57"/>
  <c r="M332" i="57"/>
  <c r="L332" i="57"/>
  <c r="I332" i="57"/>
  <c r="H332" i="57"/>
  <c r="G332" i="57"/>
  <c r="C332" i="57"/>
  <c r="N331" i="57"/>
  <c r="M331" i="57"/>
  <c r="L331" i="57"/>
  <c r="I331" i="57"/>
  <c r="H331" i="57"/>
  <c r="G331" i="57"/>
  <c r="C331" i="57"/>
  <c r="N330" i="57"/>
  <c r="M330" i="57"/>
  <c r="L330" i="57"/>
  <c r="I330" i="57"/>
  <c r="H330" i="57"/>
  <c r="G330" i="57"/>
  <c r="C330" i="57"/>
  <c r="N329" i="57"/>
  <c r="M329" i="57"/>
  <c r="L329" i="57"/>
  <c r="I329" i="57"/>
  <c r="H329" i="57"/>
  <c r="G329" i="57"/>
  <c r="C329" i="57"/>
  <c r="N328" i="57"/>
  <c r="M328" i="57"/>
  <c r="L328" i="57"/>
  <c r="I328" i="57"/>
  <c r="H328" i="57"/>
  <c r="G328" i="57"/>
  <c r="C328" i="57"/>
  <c r="N327" i="57"/>
  <c r="M327" i="57"/>
  <c r="L327" i="57"/>
  <c r="I327" i="57"/>
  <c r="H327" i="57"/>
  <c r="G327" i="57"/>
  <c r="C327" i="57"/>
  <c r="N326" i="57"/>
  <c r="M326" i="57"/>
  <c r="L326" i="57"/>
  <c r="I326" i="57"/>
  <c r="H326" i="57"/>
  <c r="G326" i="57"/>
  <c r="C326" i="57"/>
  <c r="N325" i="57"/>
  <c r="M325" i="57"/>
  <c r="L325" i="57"/>
  <c r="I325" i="57"/>
  <c r="H325" i="57"/>
  <c r="G325" i="57"/>
  <c r="C325" i="57"/>
  <c r="N324" i="57"/>
  <c r="M324" i="57"/>
  <c r="L324" i="57"/>
  <c r="I324" i="57"/>
  <c r="H324" i="57"/>
  <c r="G324" i="57"/>
  <c r="C324" i="57"/>
  <c r="N323" i="57"/>
  <c r="M323" i="57"/>
  <c r="L323" i="57"/>
  <c r="I323" i="57"/>
  <c r="G323" i="57"/>
  <c r="C323" i="57"/>
  <c r="N322" i="57"/>
  <c r="M322" i="57"/>
  <c r="L322" i="57"/>
  <c r="I322" i="57"/>
  <c r="H322" i="57"/>
  <c r="G322" i="57"/>
  <c r="C322" i="57"/>
  <c r="N321" i="57"/>
  <c r="M321" i="57"/>
  <c r="L321" i="57"/>
  <c r="I321" i="57"/>
  <c r="H321" i="57"/>
  <c r="G321" i="57"/>
  <c r="C321" i="57"/>
  <c r="N320" i="57"/>
  <c r="M320" i="57"/>
  <c r="L320" i="57"/>
  <c r="I320" i="57"/>
  <c r="H320" i="57"/>
  <c r="G320" i="57"/>
  <c r="C320" i="57"/>
  <c r="N319" i="57"/>
  <c r="M319" i="57"/>
  <c r="L319" i="57"/>
  <c r="I319" i="57"/>
  <c r="H319" i="57"/>
  <c r="G319" i="57"/>
  <c r="C319" i="57"/>
  <c r="N318" i="57"/>
  <c r="M318" i="57"/>
  <c r="L318" i="57"/>
  <c r="I318" i="57"/>
  <c r="H318" i="57"/>
  <c r="G318" i="57"/>
  <c r="C318" i="57"/>
  <c r="N317" i="57"/>
  <c r="M317" i="57"/>
  <c r="L317" i="57"/>
  <c r="I317" i="57"/>
  <c r="H317" i="57"/>
  <c r="G317" i="57"/>
  <c r="C317" i="57"/>
  <c r="N316" i="57"/>
  <c r="M316" i="57"/>
  <c r="L316" i="57"/>
  <c r="I316" i="57"/>
  <c r="H316" i="57"/>
  <c r="G316" i="57"/>
  <c r="C316" i="57"/>
  <c r="N315" i="57"/>
  <c r="M315" i="57"/>
  <c r="L315" i="57"/>
  <c r="I315" i="57"/>
  <c r="H315" i="57"/>
  <c r="G315" i="57"/>
  <c r="C315" i="57"/>
  <c r="N314" i="57"/>
  <c r="M314" i="57"/>
  <c r="L314" i="57"/>
  <c r="I314" i="57"/>
  <c r="H314" i="57"/>
  <c r="G314" i="57"/>
  <c r="C314" i="57"/>
  <c r="N313" i="57"/>
  <c r="M313" i="57"/>
  <c r="L313" i="57"/>
  <c r="I313" i="57"/>
  <c r="H313" i="57"/>
  <c r="G313" i="57"/>
  <c r="C313" i="57"/>
  <c r="N312" i="57"/>
  <c r="M312" i="57"/>
  <c r="L312" i="57"/>
  <c r="I312" i="57"/>
  <c r="H312" i="57"/>
  <c r="G312" i="57"/>
  <c r="C312" i="57"/>
  <c r="N311" i="57"/>
  <c r="M311" i="57"/>
  <c r="L311" i="57"/>
  <c r="I311" i="57"/>
  <c r="H311" i="57"/>
  <c r="G311" i="57"/>
  <c r="C311" i="57"/>
  <c r="N310" i="57"/>
  <c r="M310" i="57"/>
  <c r="L310" i="57"/>
  <c r="I310" i="57"/>
  <c r="H310" i="57"/>
  <c r="G310" i="57"/>
  <c r="C310" i="57"/>
  <c r="N309" i="57"/>
  <c r="M309" i="57"/>
  <c r="L309" i="57"/>
  <c r="I309" i="57"/>
  <c r="H309" i="57"/>
  <c r="G309" i="57"/>
  <c r="C309" i="57"/>
  <c r="N308" i="57"/>
  <c r="M308" i="57"/>
  <c r="L308" i="57"/>
  <c r="I308" i="57"/>
  <c r="H308" i="57"/>
  <c r="G308" i="57"/>
  <c r="C308" i="57"/>
  <c r="N307" i="57"/>
  <c r="M307" i="57"/>
  <c r="L307" i="57"/>
  <c r="I307" i="57"/>
  <c r="H307" i="57"/>
  <c r="G307" i="57"/>
  <c r="C307" i="57"/>
  <c r="N306" i="57"/>
  <c r="M306" i="57"/>
  <c r="L306" i="57"/>
  <c r="I306" i="57"/>
  <c r="H306" i="57"/>
  <c r="G306" i="57"/>
  <c r="C306" i="57"/>
  <c r="N305" i="57"/>
  <c r="M305" i="57"/>
  <c r="L305" i="57"/>
  <c r="I305" i="57"/>
  <c r="H305" i="57"/>
  <c r="G305" i="57"/>
  <c r="C305" i="57"/>
  <c r="N304" i="57"/>
  <c r="M304" i="57"/>
  <c r="L304" i="57"/>
  <c r="I304" i="57"/>
  <c r="H304" i="57"/>
  <c r="G304" i="57"/>
  <c r="C304" i="57"/>
  <c r="N303" i="57"/>
  <c r="M303" i="57"/>
  <c r="L303" i="57"/>
  <c r="I303" i="57"/>
  <c r="H303" i="57"/>
  <c r="G303" i="57"/>
  <c r="C303" i="57"/>
  <c r="N302" i="57"/>
  <c r="M302" i="57"/>
  <c r="L302" i="57"/>
  <c r="I302" i="57"/>
  <c r="H302" i="57"/>
  <c r="G302" i="57"/>
  <c r="C302" i="57"/>
  <c r="N301" i="57"/>
  <c r="M301" i="57"/>
  <c r="L301" i="57"/>
  <c r="I301" i="57"/>
  <c r="H301" i="57"/>
  <c r="G301" i="57"/>
  <c r="C301" i="57"/>
  <c r="N300" i="57"/>
  <c r="M300" i="57"/>
  <c r="L300" i="57"/>
  <c r="I300" i="57"/>
  <c r="H300" i="57"/>
  <c r="G300" i="57"/>
  <c r="C300" i="57"/>
  <c r="N299" i="57"/>
  <c r="M299" i="57"/>
  <c r="L299" i="57"/>
  <c r="I299" i="57"/>
  <c r="H299" i="57"/>
  <c r="G299" i="57"/>
  <c r="C299" i="57"/>
  <c r="N298" i="57"/>
  <c r="M298" i="57"/>
  <c r="L298" i="57"/>
  <c r="I298" i="57"/>
  <c r="H298" i="57"/>
  <c r="G298" i="57"/>
  <c r="C298" i="57"/>
  <c r="N297" i="57"/>
  <c r="M297" i="57"/>
  <c r="L297" i="57"/>
  <c r="I297" i="57"/>
  <c r="H297" i="57"/>
  <c r="G297" i="57"/>
  <c r="C297" i="57"/>
  <c r="N296" i="57"/>
  <c r="M296" i="57"/>
  <c r="L296" i="57"/>
  <c r="I296" i="57"/>
  <c r="H296" i="57"/>
  <c r="G296" i="57"/>
  <c r="C296" i="57"/>
  <c r="N295" i="57"/>
  <c r="M295" i="57"/>
  <c r="L295" i="57"/>
  <c r="I295" i="57"/>
  <c r="H295" i="57"/>
  <c r="G295" i="57"/>
  <c r="C295" i="57"/>
  <c r="N294" i="57"/>
  <c r="M294" i="57"/>
  <c r="L294" i="57"/>
  <c r="I294" i="57"/>
  <c r="H294" i="57"/>
  <c r="G294" i="57"/>
  <c r="C294" i="57"/>
  <c r="N293" i="57"/>
  <c r="M293" i="57"/>
  <c r="L293" i="57"/>
  <c r="I293" i="57"/>
  <c r="H293" i="57"/>
  <c r="G293" i="57"/>
  <c r="C293" i="57"/>
  <c r="N292" i="57"/>
  <c r="M292" i="57"/>
  <c r="L292" i="57"/>
  <c r="I292" i="57"/>
  <c r="H292" i="57"/>
  <c r="G292" i="57"/>
  <c r="C292" i="57"/>
  <c r="N291" i="57"/>
  <c r="M291" i="57"/>
  <c r="L291" i="57"/>
  <c r="I291" i="57"/>
  <c r="H291" i="57"/>
  <c r="G291" i="57"/>
  <c r="C291" i="57"/>
  <c r="N290" i="57"/>
  <c r="M290" i="57"/>
  <c r="L290" i="57"/>
  <c r="I290" i="57"/>
  <c r="H290" i="57"/>
  <c r="G290" i="57"/>
  <c r="C290" i="57"/>
  <c r="N289" i="57"/>
  <c r="M289" i="57"/>
  <c r="L289" i="57"/>
  <c r="I289" i="57"/>
  <c r="H289" i="57"/>
  <c r="G289" i="57"/>
  <c r="C289" i="57"/>
  <c r="N288" i="57"/>
  <c r="M288" i="57"/>
  <c r="L288" i="57"/>
  <c r="I288" i="57"/>
  <c r="H288" i="57"/>
  <c r="G288" i="57"/>
  <c r="C288" i="57"/>
  <c r="N287" i="57"/>
  <c r="M287" i="57"/>
  <c r="L287" i="57"/>
  <c r="I287" i="57"/>
  <c r="H287" i="57"/>
  <c r="G287" i="57"/>
  <c r="C287" i="57"/>
  <c r="N286" i="57"/>
  <c r="M286" i="57"/>
  <c r="L286" i="57"/>
  <c r="I286" i="57"/>
  <c r="H286" i="57"/>
  <c r="G286" i="57"/>
  <c r="C286" i="57"/>
  <c r="N285" i="57"/>
  <c r="M285" i="57"/>
  <c r="L285" i="57"/>
  <c r="I285" i="57"/>
  <c r="H285" i="57"/>
  <c r="G285" i="57"/>
  <c r="C285" i="57"/>
  <c r="N284" i="57"/>
  <c r="M284" i="57"/>
  <c r="L284" i="57"/>
  <c r="I284" i="57"/>
  <c r="H284" i="57"/>
  <c r="G284" i="57"/>
  <c r="C284" i="57"/>
  <c r="N283" i="57"/>
  <c r="M283" i="57"/>
  <c r="L283" i="57"/>
  <c r="I283" i="57"/>
  <c r="H283" i="57"/>
  <c r="G283" i="57"/>
  <c r="C283" i="57"/>
  <c r="N282" i="57"/>
  <c r="M282" i="57"/>
  <c r="L282" i="57"/>
  <c r="I282" i="57"/>
  <c r="H282" i="57"/>
  <c r="G282" i="57"/>
  <c r="C282" i="57"/>
  <c r="N281" i="57"/>
  <c r="M281" i="57"/>
  <c r="L281" i="57"/>
  <c r="I281" i="57"/>
  <c r="H281" i="57"/>
  <c r="G281" i="57"/>
  <c r="C281" i="57"/>
  <c r="N280" i="57"/>
  <c r="M280" i="57"/>
  <c r="L280" i="57"/>
  <c r="I280" i="57"/>
  <c r="H280" i="57"/>
  <c r="G280" i="57"/>
  <c r="C280" i="57"/>
  <c r="N279" i="57"/>
  <c r="M279" i="57"/>
  <c r="L279" i="57"/>
  <c r="I279" i="57"/>
  <c r="H279" i="57"/>
  <c r="G279" i="57"/>
  <c r="C279" i="57"/>
  <c r="N278" i="57"/>
  <c r="M278" i="57"/>
  <c r="L278" i="57"/>
  <c r="I278" i="57"/>
  <c r="H278" i="57"/>
  <c r="G278" i="57"/>
  <c r="C278" i="57"/>
  <c r="N277" i="57"/>
  <c r="M277" i="57"/>
  <c r="L277" i="57"/>
  <c r="I277" i="57"/>
  <c r="H277" i="57"/>
  <c r="G277" i="57"/>
  <c r="C277" i="57"/>
  <c r="N276" i="57"/>
  <c r="M276" i="57"/>
  <c r="L276" i="57"/>
  <c r="I276" i="57"/>
  <c r="H276" i="57"/>
  <c r="G276" i="57"/>
  <c r="C276" i="57"/>
  <c r="N275" i="57"/>
  <c r="M275" i="57"/>
  <c r="L275" i="57"/>
  <c r="I275" i="57"/>
  <c r="H275" i="57"/>
  <c r="G275" i="57"/>
  <c r="C275" i="57"/>
  <c r="N274" i="57"/>
  <c r="M274" i="57"/>
  <c r="L274" i="57"/>
  <c r="I274" i="57"/>
  <c r="H274" i="57"/>
  <c r="G274" i="57"/>
  <c r="C274" i="57"/>
  <c r="N273" i="57"/>
  <c r="M273" i="57"/>
  <c r="L273" i="57"/>
  <c r="I273" i="57"/>
  <c r="H273" i="57"/>
  <c r="G273" i="57"/>
  <c r="C273" i="57"/>
  <c r="N272" i="57"/>
  <c r="M272" i="57"/>
  <c r="L272" i="57"/>
  <c r="I272" i="57"/>
  <c r="H272" i="57"/>
  <c r="G272" i="57"/>
  <c r="C272" i="57"/>
  <c r="N271" i="57"/>
  <c r="M271" i="57"/>
  <c r="L271" i="57"/>
  <c r="I271" i="57"/>
  <c r="H271" i="57"/>
  <c r="G271" i="57"/>
  <c r="C271" i="57"/>
  <c r="N270" i="57"/>
  <c r="M270" i="57"/>
  <c r="L270" i="57"/>
  <c r="I270" i="57"/>
  <c r="H270" i="57"/>
  <c r="G270" i="57"/>
  <c r="C270" i="57"/>
  <c r="N269" i="57"/>
  <c r="M269" i="57"/>
  <c r="L269" i="57"/>
  <c r="I269" i="57"/>
  <c r="H269" i="57"/>
  <c r="G269" i="57"/>
  <c r="C269" i="57"/>
  <c r="N268" i="57"/>
  <c r="M268" i="57"/>
  <c r="L268" i="57"/>
  <c r="I268" i="57"/>
  <c r="H268" i="57"/>
  <c r="G268" i="57"/>
  <c r="C268" i="57"/>
  <c r="N267" i="57"/>
  <c r="M267" i="57"/>
  <c r="L267" i="57"/>
  <c r="I267" i="57"/>
  <c r="H267" i="57"/>
  <c r="G267" i="57"/>
  <c r="C267" i="57"/>
  <c r="N266" i="57"/>
  <c r="M266" i="57"/>
  <c r="L266" i="57"/>
  <c r="I266" i="57"/>
  <c r="H266" i="57"/>
  <c r="G266" i="57"/>
  <c r="C266" i="57"/>
  <c r="N265" i="57"/>
  <c r="M265" i="57"/>
  <c r="L265" i="57"/>
  <c r="I265" i="57"/>
  <c r="H265" i="57"/>
  <c r="G265" i="57"/>
  <c r="C265" i="57"/>
  <c r="N264" i="57"/>
  <c r="M264" i="57"/>
  <c r="L264" i="57"/>
  <c r="I264" i="57"/>
  <c r="H264" i="57"/>
  <c r="G264" i="57"/>
  <c r="C264" i="57"/>
  <c r="N263" i="57"/>
  <c r="M263" i="57"/>
  <c r="L263" i="57"/>
  <c r="I263" i="57"/>
  <c r="H263" i="57"/>
  <c r="G263" i="57"/>
  <c r="C263" i="57"/>
  <c r="N262" i="57"/>
  <c r="M262" i="57"/>
  <c r="L262" i="57"/>
  <c r="I262" i="57"/>
  <c r="H262" i="57"/>
  <c r="G262" i="57"/>
  <c r="C262" i="57"/>
  <c r="N261" i="57"/>
  <c r="M261" i="57"/>
  <c r="L261" i="57"/>
  <c r="I261" i="57"/>
  <c r="H261" i="57"/>
  <c r="G261" i="57"/>
  <c r="C261" i="57"/>
  <c r="N260" i="57"/>
  <c r="M260" i="57"/>
  <c r="L260" i="57"/>
  <c r="I260" i="57"/>
  <c r="H260" i="57"/>
  <c r="G260" i="57"/>
  <c r="C260" i="57"/>
  <c r="N259" i="57"/>
  <c r="M259" i="57"/>
  <c r="L259" i="57"/>
  <c r="I259" i="57"/>
  <c r="H259" i="57"/>
  <c r="G259" i="57"/>
  <c r="C259" i="57"/>
  <c r="N258" i="57"/>
  <c r="M258" i="57"/>
  <c r="L258" i="57"/>
  <c r="I258" i="57"/>
  <c r="H258" i="57"/>
  <c r="G258" i="57"/>
  <c r="C258" i="57"/>
  <c r="N257" i="57"/>
  <c r="M257" i="57"/>
  <c r="L257" i="57"/>
  <c r="I257" i="57"/>
  <c r="H257" i="57"/>
  <c r="G257" i="57"/>
  <c r="C257" i="57"/>
  <c r="N256" i="57"/>
  <c r="M256" i="57"/>
  <c r="L256" i="57"/>
  <c r="I256" i="57"/>
  <c r="H256" i="57"/>
  <c r="G256" i="57"/>
  <c r="C256" i="57"/>
  <c r="N255" i="57"/>
  <c r="M255" i="57"/>
  <c r="L255" i="57"/>
  <c r="I255" i="57"/>
  <c r="H255" i="57"/>
  <c r="G255" i="57"/>
  <c r="C255" i="57"/>
  <c r="N254" i="57"/>
  <c r="M254" i="57"/>
  <c r="L254" i="57"/>
  <c r="I254" i="57"/>
  <c r="H254" i="57"/>
  <c r="G254" i="57"/>
  <c r="C254" i="57"/>
  <c r="N253" i="57"/>
  <c r="M253" i="57"/>
  <c r="L253" i="57"/>
  <c r="I253" i="57"/>
  <c r="H253" i="57"/>
  <c r="G253" i="57"/>
  <c r="C253" i="57"/>
  <c r="N252" i="57"/>
  <c r="M252" i="57"/>
  <c r="L252" i="57"/>
  <c r="I252" i="57"/>
  <c r="H252" i="57"/>
  <c r="G252" i="57"/>
  <c r="C252" i="57"/>
  <c r="N251" i="57"/>
  <c r="M251" i="57"/>
  <c r="L251" i="57"/>
  <c r="I251" i="57"/>
  <c r="H251" i="57"/>
  <c r="G251" i="57"/>
  <c r="C251" i="57"/>
  <c r="N250" i="57"/>
  <c r="M250" i="57"/>
  <c r="L250" i="57"/>
  <c r="I250" i="57"/>
  <c r="H250" i="57"/>
  <c r="G250" i="57"/>
  <c r="C250" i="57"/>
  <c r="N249" i="57"/>
  <c r="M249" i="57"/>
  <c r="L249" i="57"/>
  <c r="I249" i="57"/>
  <c r="H249" i="57"/>
  <c r="G249" i="57"/>
  <c r="C249" i="57"/>
  <c r="N248" i="57"/>
  <c r="M248" i="57"/>
  <c r="L248" i="57"/>
  <c r="I248" i="57"/>
  <c r="H248" i="57"/>
  <c r="G248" i="57"/>
  <c r="C248" i="57"/>
  <c r="N247" i="57"/>
  <c r="M247" i="57"/>
  <c r="L247" i="57"/>
  <c r="I247" i="57"/>
  <c r="H247" i="57"/>
  <c r="G247" i="57"/>
  <c r="C247" i="57"/>
  <c r="N246" i="57"/>
  <c r="M246" i="57"/>
  <c r="L246" i="57"/>
  <c r="I246" i="57"/>
  <c r="H246" i="57"/>
  <c r="G246" i="57"/>
  <c r="C246" i="57"/>
  <c r="N245" i="57"/>
  <c r="M245" i="57"/>
  <c r="L245" i="57"/>
  <c r="I245" i="57"/>
  <c r="H245" i="57"/>
  <c r="G245" i="57"/>
  <c r="C245" i="57"/>
  <c r="N244" i="57"/>
  <c r="M244" i="57"/>
  <c r="L244" i="57"/>
  <c r="I244" i="57"/>
  <c r="H244" i="57"/>
  <c r="G244" i="57"/>
  <c r="C244" i="57"/>
  <c r="N243" i="57"/>
  <c r="M243" i="57"/>
  <c r="L243" i="57"/>
  <c r="I243" i="57"/>
  <c r="H243" i="57"/>
  <c r="G243" i="57"/>
  <c r="C243" i="57"/>
  <c r="N242" i="57"/>
  <c r="M242" i="57"/>
  <c r="L242" i="57"/>
  <c r="I242" i="57"/>
  <c r="H242" i="57"/>
  <c r="G242" i="57"/>
  <c r="C242" i="57"/>
  <c r="N241" i="57"/>
  <c r="M241" i="57"/>
  <c r="L241" i="57"/>
  <c r="I241" i="57"/>
  <c r="H241" i="57"/>
  <c r="G241" i="57"/>
  <c r="C241" i="57"/>
  <c r="N240" i="57"/>
  <c r="M240" i="57"/>
  <c r="L240" i="57"/>
  <c r="I240" i="57"/>
  <c r="H240" i="57"/>
  <c r="G240" i="57"/>
  <c r="C240" i="57"/>
  <c r="N239" i="57"/>
  <c r="M239" i="57"/>
  <c r="L239" i="57"/>
  <c r="I239" i="57"/>
  <c r="H239" i="57"/>
  <c r="G239" i="57"/>
  <c r="C239" i="57"/>
  <c r="N238" i="57"/>
  <c r="M238" i="57"/>
  <c r="L238" i="57"/>
  <c r="I238" i="57"/>
  <c r="H238" i="57"/>
  <c r="G238" i="57"/>
  <c r="C238" i="57"/>
  <c r="N237" i="57"/>
  <c r="M237" i="57"/>
  <c r="L237" i="57"/>
  <c r="I237" i="57"/>
  <c r="H237" i="57"/>
  <c r="G237" i="57"/>
  <c r="C237" i="57"/>
  <c r="N236" i="57"/>
  <c r="M236" i="57"/>
  <c r="L236" i="57"/>
  <c r="I236" i="57"/>
  <c r="H236" i="57"/>
  <c r="G236" i="57"/>
  <c r="C236" i="57"/>
  <c r="N235" i="57"/>
  <c r="M235" i="57"/>
  <c r="L235" i="57"/>
  <c r="I235" i="57"/>
  <c r="H235" i="57"/>
  <c r="G235" i="57"/>
  <c r="C235" i="57"/>
  <c r="N234" i="57"/>
  <c r="M234" i="57"/>
  <c r="L234" i="57"/>
  <c r="I234" i="57"/>
  <c r="H234" i="57"/>
  <c r="G234" i="57"/>
  <c r="C234" i="57"/>
  <c r="N233" i="57"/>
  <c r="M233" i="57"/>
  <c r="L233" i="57"/>
  <c r="I233" i="57"/>
  <c r="H233" i="57"/>
  <c r="G233" i="57"/>
  <c r="C233" i="57"/>
  <c r="N232" i="57"/>
  <c r="M232" i="57"/>
  <c r="L232" i="57"/>
  <c r="I232" i="57"/>
  <c r="H232" i="57"/>
  <c r="G232" i="57"/>
  <c r="C232" i="57"/>
  <c r="N231" i="57"/>
  <c r="M231" i="57"/>
  <c r="L231" i="57"/>
  <c r="I231" i="57"/>
  <c r="H231" i="57"/>
  <c r="G231" i="57"/>
  <c r="C231" i="57"/>
  <c r="N230" i="57"/>
  <c r="M230" i="57"/>
  <c r="L230" i="57"/>
  <c r="I230" i="57"/>
  <c r="H230" i="57"/>
  <c r="G230" i="57"/>
  <c r="C230" i="57"/>
  <c r="N229" i="57"/>
  <c r="M229" i="57"/>
  <c r="L229" i="57"/>
  <c r="I229" i="57"/>
  <c r="H229" i="57"/>
  <c r="G229" i="57"/>
  <c r="C229" i="57"/>
  <c r="N228" i="57"/>
  <c r="M228" i="57"/>
  <c r="L228" i="57"/>
  <c r="I228" i="57"/>
  <c r="H228" i="57"/>
  <c r="G228" i="57"/>
  <c r="C228" i="57"/>
  <c r="N227" i="57"/>
  <c r="M227" i="57"/>
  <c r="L227" i="57"/>
  <c r="I227" i="57"/>
  <c r="H227" i="57"/>
  <c r="G227" i="57"/>
  <c r="C227" i="57"/>
  <c r="N226" i="57"/>
  <c r="M226" i="57"/>
  <c r="L226" i="57"/>
  <c r="I226" i="57"/>
  <c r="H226" i="57"/>
  <c r="G226" i="57"/>
  <c r="C226" i="57"/>
  <c r="N225" i="57"/>
  <c r="M225" i="57"/>
  <c r="L225" i="57"/>
  <c r="I225" i="57"/>
  <c r="H225" i="57"/>
  <c r="G225" i="57"/>
  <c r="C225" i="57"/>
  <c r="N224" i="57"/>
  <c r="M224" i="57"/>
  <c r="L224" i="57"/>
  <c r="I224" i="57"/>
  <c r="H224" i="57"/>
  <c r="G224" i="57"/>
  <c r="C224" i="57"/>
  <c r="N223" i="57"/>
  <c r="M223" i="57"/>
  <c r="L223" i="57"/>
  <c r="I223" i="57"/>
  <c r="H223" i="57"/>
  <c r="G223" i="57"/>
  <c r="C223" i="57"/>
  <c r="N222" i="57"/>
  <c r="M222" i="57"/>
  <c r="L222" i="57"/>
  <c r="I222" i="57"/>
  <c r="H222" i="57"/>
  <c r="G222" i="57"/>
  <c r="C222" i="57"/>
  <c r="N221" i="57"/>
  <c r="M221" i="57"/>
  <c r="L221" i="57"/>
  <c r="I221" i="57"/>
  <c r="H221" i="57"/>
  <c r="G221" i="57"/>
  <c r="C221" i="57"/>
  <c r="N220" i="57"/>
  <c r="M220" i="57"/>
  <c r="L220" i="57"/>
  <c r="I220" i="57"/>
  <c r="H220" i="57"/>
  <c r="G220" i="57"/>
  <c r="C220" i="57"/>
  <c r="N219" i="57"/>
  <c r="M219" i="57"/>
  <c r="L219" i="57"/>
  <c r="I219" i="57"/>
  <c r="H219" i="57"/>
  <c r="G219" i="57"/>
  <c r="C219" i="57"/>
  <c r="N218" i="57"/>
  <c r="M218" i="57"/>
  <c r="L218" i="57"/>
  <c r="I218" i="57"/>
  <c r="H218" i="57"/>
  <c r="G218" i="57"/>
  <c r="C218" i="57"/>
  <c r="N217" i="57"/>
  <c r="M217" i="57"/>
  <c r="L217" i="57"/>
  <c r="I217" i="57"/>
  <c r="H217" i="57"/>
  <c r="G217" i="57"/>
  <c r="C217" i="57"/>
  <c r="N216" i="57"/>
  <c r="M216" i="57"/>
  <c r="L216" i="57"/>
  <c r="I216" i="57"/>
  <c r="H216" i="57"/>
  <c r="G216" i="57"/>
  <c r="C216" i="57"/>
  <c r="N215" i="57"/>
  <c r="M215" i="57"/>
  <c r="L215" i="57"/>
  <c r="I215" i="57"/>
  <c r="H215" i="57"/>
  <c r="G215" i="57"/>
  <c r="C215" i="57"/>
  <c r="N214" i="57"/>
  <c r="M214" i="57"/>
  <c r="L214" i="57"/>
  <c r="I214" i="57"/>
  <c r="H214" i="57"/>
  <c r="G214" i="57"/>
  <c r="C214" i="57"/>
  <c r="N213" i="57"/>
  <c r="M213" i="57"/>
  <c r="L213" i="57"/>
  <c r="I213" i="57"/>
  <c r="H213" i="57"/>
  <c r="G213" i="57"/>
  <c r="C213" i="57"/>
  <c r="N212" i="57"/>
  <c r="M212" i="57"/>
  <c r="L212" i="57"/>
  <c r="I212" i="57"/>
  <c r="H212" i="57"/>
  <c r="G212" i="57"/>
  <c r="C212" i="57"/>
  <c r="N211" i="57"/>
  <c r="M211" i="57"/>
  <c r="L211" i="57"/>
  <c r="I211" i="57"/>
  <c r="H211" i="57"/>
  <c r="G211" i="57"/>
  <c r="C211" i="57"/>
  <c r="N210" i="57"/>
  <c r="M210" i="57"/>
  <c r="L210" i="57"/>
  <c r="I210" i="57"/>
  <c r="H210" i="57"/>
  <c r="G210" i="57"/>
  <c r="C210" i="57"/>
  <c r="N209" i="57"/>
  <c r="M209" i="57"/>
  <c r="L209" i="57"/>
  <c r="I209" i="57"/>
  <c r="H209" i="57"/>
  <c r="G209" i="57"/>
  <c r="C209" i="57"/>
  <c r="N208" i="57"/>
  <c r="M208" i="57"/>
  <c r="L208" i="57"/>
  <c r="I208" i="57"/>
  <c r="H208" i="57"/>
  <c r="G208" i="57"/>
  <c r="C208" i="57"/>
  <c r="N207" i="57"/>
  <c r="M207" i="57"/>
  <c r="L207" i="57"/>
  <c r="I207" i="57"/>
  <c r="H207" i="57"/>
  <c r="G207" i="57"/>
  <c r="C207" i="57"/>
  <c r="N206" i="57"/>
  <c r="M206" i="57"/>
  <c r="L206" i="57"/>
  <c r="I206" i="57"/>
  <c r="H206" i="57"/>
  <c r="G206" i="57"/>
  <c r="C206" i="57"/>
  <c r="N205" i="57"/>
  <c r="M205" i="57"/>
  <c r="L205" i="57"/>
  <c r="I205" i="57"/>
  <c r="H205" i="57"/>
  <c r="G205" i="57"/>
  <c r="C205" i="57"/>
  <c r="N204" i="57"/>
  <c r="M204" i="57"/>
  <c r="L204" i="57"/>
  <c r="I204" i="57"/>
  <c r="H204" i="57"/>
  <c r="G204" i="57"/>
  <c r="C204" i="57"/>
  <c r="N203" i="57"/>
  <c r="M203" i="57"/>
  <c r="L203" i="57"/>
  <c r="I203" i="57"/>
  <c r="H203" i="57"/>
  <c r="G203" i="57"/>
  <c r="C203" i="57"/>
  <c r="N202" i="57"/>
  <c r="M202" i="57"/>
  <c r="L202" i="57"/>
  <c r="I202" i="57"/>
  <c r="H202" i="57"/>
  <c r="G202" i="57"/>
  <c r="C202" i="57"/>
  <c r="N201" i="57"/>
  <c r="M201" i="57"/>
  <c r="L201" i="57"/>
  <c r="I201" i="57"/>
  <c r="H201" i="57"/>
  <c r="G201" i="57"/>
  <c r="C201" i="57"/>
  <c r="N200" i="57"/>
  <c r="M200" i="57"/>
  <c r="L200" i="57"/>
  <c r="I200" i="57"/>
  <c r="H200" i="57"/>
  <c r="G200" i="57"/>
  <c r="C200" i="57"/>
  <c r="N199" i="57"/>
  <c r="M199" i="57"/>
  <c r="L199" i="57"/>
  <c r="I199" i="57"/>
  <c r="H199" i="57"/>
  <c r="G199" i="57"/>
  <c r="C199" i="57"/>
  <c r="N198" i="57"/>
  <c r="M198" i="57"/>
  <c r="L198" i="57"/>
  <c r="I198" i="57"/>
  <c r="H198" i="57"/>
  <c r="G198" i="57"/>
  <c r="C198" i="57"/>
  <c r="N197" i="57"/>
  <c r="M197" i="57"/>
  <c r="L197" i="57"/>
  <c r="I197" i="57"/>
  <c r="H197" i="57"/>
  <c r="G197" i="57"/>
  <c r="C197" i="57"/>
  <c r="N196" i="57"/>
  <c r="M196" i="57"/>
  <c r="L196" i="57"/>
  <c r="I196" i="57"/>
  <c r="H196" i="57"/>
  <c r="G196" i="57"/>
  <c r="C196" i="57"/>
  <c r="N195" i="57"/>
  <c r="M195" i="57"/>
  <c r="L195" i="57"/>
  <c r="I195" i="57"/>
  <c r="H195" i="57"/>
  <c r="G195" i="57"/>
  <c r="C195" i="57"/>
  <c r="N194" i="57"/>
  <c r="M194" i="57"/>
  <c r="L194" i="57"/>
  <c r="I194" i="57"/>
  <c r="H194" i="57"/>
  <c r="G194" i="57"/>
  <c r="C194" i="57"/>
  <c r="N193" i="57"/>
  <c r="M193" i="57"/>
  <c r="L193" i="57"/>
  <c r="I193" i="57"/>
  <c r="H193" i="57"/>
  <c r="G193" i="57"/>
  <c r="C193" i="57"/>
  <c r="N192" i="57"/>
  <c r="M192" i="57"/>
  <c r="L192" i="57"/>
  <c r="I192" i="57"/>
  <c r="H192" i="57"/>
  <c r="G192" i="57"/>
  <c r="C192" i="57"/>
  <c r="N191" i="57"/>
  <c r="M191" i="57"/>
  <c r="L191" i="57"/>
  <c r="I191" i="57"/>
  <c r="H191" i="57"/>
  <c r="G191" i="57"/>
  <c r="C191" i="57"/>
  <c r="N190" i="57"/>
  <c r="M190" i="57"/>
  <c r="L190" i="57"/>
  <c r="I190" i="57"/>
  <c r="H190" i="57"/>
  <c r="G190" i="57"/>
  <c r="C190" i="57"/>
  <c r="N189" i="57"/>
  <c r="M189" i="57"/>
  <c r="L189" i="57"/>
  <c r="I189" i="57"/>
  <c r="H189" i="57"/>
  <c r="G189" i="57"/>
  <c r="C189" i="57"/>
  <c r="N188" i="57"/>
  <c r="M188" i="57"/>
  <c r="L188" i="57"/>
  <c r="I188" i="57"/>
  <c r="H188" i="57"/>
  <c r="G188" i="57"/>
  <c r="C188" i="57"/>
  <c r="N187" i="57"/>
  <c r="M187" i="57"/>
  <c r="L187" i="57"/>
  <c r="I187" i="57"/>
  <c r="H187" i="57"/>
  <c r="G187" i="57"/>
  <c r="C187" i="57"/>
  <c r="N186" i="57"/>
  <c r="M186" i="57"/>
  <c r="L186" i="57"/>
  <c r="I186" i="57"/>
  <c r="H186" i="57"/>
  <c r="G186" i="57"/>
  <c r="C186" i="57"/>
  <c r="N185" i="57"/>
  <c r="M185" i="57"/>
  <c r="L185" i="57"/>
  <c r="I185" i="57"/>
  <c r="H185" i="57"/>
  <c r="G185" i="57"/>
  <c r="C185" i="57"/>
  <c r="N184" i="57"/>
  <c r="M184" i="57"/>
  <c r="L184" i="57"/>
  <c r="I184" i="57"/>
  <c r="H184" i="57"/>
  <c r="G184" i="57"/>
  <c r="C184" i="57"/>
  <c r="N183" i="57"/>
  <c r="M183" i="57"/>
  <c r="L183" i="57"/>
  <c r="I183" i="57"/>
  <c r="H183" i="57"/>
  <c r="G183" i="57"/>
  <c r="C183" i="57"/>
  <c r="N182" i="57"/>
  <c r="M182" i="57"/>
  <c r="L182" i="57"/>
  <c r="I182" i="57"/>
  <c r="H182" i="57"/>
  <c r="G182" i="57"/>
  <c r="C182" i="57"/>
  <c r="N181" i="57"/>
  <c r="M181" i="57"/>
  <c r="L181" i="57"/>
  <c r="I181" i="57"/>
  <c r="H181" i="57"/>
  <c r="G181" i="57"/>
  <c r="C181" i="57"/>
  <c r="N180" i="57"/>
  <c r="M180" i="57"/>
  <c r="L180" i="57"/>
  <c r="I180" i="57"/>
  <c r="H180" i="57"/>
  <c r="G180" i="57"/>
  <c r="C180" i="57"/>
  <c r="N179" i="57"/>
  <c r="M179" i="57"/>
  <c r="L179" i="57"/>
  <c r="I179" i="57"/>
  <c r="H179" i="57"/>
  <c r="G179" i="57"/>
  <c r="C179" i="57"/>
  <c r="N178" i="57"/>
  <c r="M178" i="57"/>
  <c r="L178" i="57"/>
  <c r="I178" i="57"/>
  <c r="H178" i="57"/>
  <c r="G178" i="57"/>
  <c r="C178" i="57"/>
  <c r="N177" i="57"/>
  <c r="M177" i="57"/>
  <c r="L177" i="57"/>
  <c r="I177" i="57"/>
  <c r="H177" i="57"/>
  <c r="G177" i="57"/>
  <c r="C177" i="57"/>
  <c r="N176" i="57"/>
  <c r="M176" i="57"/>
  <c r="L176" i="57"/>
  <c r="I176" i="57"/>
  <c r="H176" i="57"/>
  <c r="G176" i="57"/>
  <c r="C176" i="57"/>
  <c r="N175" i="57"/>
  <c r="M175" i="57"/>
  <c r="L175" i="57"/>
  <c r="I175" i="57"/>
  <c r="H175" i="57"/>
  <c r="G175" i="57"/>
  <c r="C175" i="57"/>
  <c r="N174" i="57"/>
  <c r="M174" i="57"/>
  <c r="L174" i="57"/>
  <c r="I174" i="57"/>
  <c r="H174" i="57"/>
  <c r="G174" i="57"/>
  <c r="C174" i="57"/>
  <c r="N173" i="57"/>
  <c r="M173" i="57"/>
  <c r="L173" i="57"/>
  <c r="I173" i="57"/>
  <c r="H173" i="57"/>
  <c r="G173" i="57"/>
  <c r="C173" i="57"/>
  <c r="N172" i="57"/>
  <c r="M172" i="57"/>
  <c r="L172" i="57"/>
  <c r="I172" i="57"/>
  <c r="H172" i="57"/>
  <c r="G172" i="57"/>
  <c r="C172" i="57"/>
  <c r="N171" i="57"/>
  <c r="M171" i="57"/>
  <c r="L171" i="57"/>
  <c r="I171" i="57"/>
  <c r="H171" i="57"/>
  <c r="G171" i="57"/>
  <c r="C171" i="57"/>
  <c r="N170" i="57"/>
  <c r="M170" i="57"/>
  <c r="L170" i="57"/>
  <c r="I170" i="57"/>
  <c r="H170" i="57"/>
  <c r="G170" i="57"/>
  <c r="C170" i="57"/>
  <c r="N169" i="57"/>
  <c r="M169" i="57"/>
  <c r="L169" i="57"/>
  <c r="I169" i="57"/>
  <c r="H169" i="57"/>
  <c r="G169" i="57"/>
  <c r="C169" i="57"/>
  <c r="N168" i="57"/>
  <c r="M168" i="57"/>
  <c r="L168" i="57"/>
  <c r="I168" i="57"/>
  <c r="H168" i="57"/>
  <c r="G168" i="57"/>
  <c r="C168" i="57"/>
  <c r="N167" i="57"/>
  <c r="M167" i="57"/>
  <c r="L167" i="57"/>
  <c r="I167" i="57"/>
  <c r="H167" i="57"/>
  <c r="G167" i="57"/>
  <c r="C167" i="57"/>
  <c r="N166" i="57"/>
  <c r="M166" i="57"/>
  <c r="L166" i="57"/>
  <c r="I166" i="57"/>
  <c r="H166" i="57"/>
  <c r="G166" i="57"/>
  <c r="C166" i="57"/>
  <c r="N165" i="57"/>
  <c r="M165" i="57"/>
  <c r="L165" i="57"/>
  <c r="I165" i="57"/>
  <c r="H165" i="57"/>
  <c r="G165" i="57"/>
  <c r="C165" i="57"/>
  <c r="N164" i="57"/>
  <c r="M164" i="57"/>
  <c r="L164" i="57"/>
  <c r="I164" i="57"/>
  <c r="H164" i="57"/>
  <c r="G164" i="57"/>
  <c r="C164" i="57"/>
  <c r="N163" i="57"/>
  <c r="M163" i="57"/>
  <c r="L163" i="57"/>
  <c r="I163" i="57"/>
  <c r="H163" i="57"/>
  <c r="G163" i="57"/>
  <c r="C163" i="57"/>
  <c r="N162" i="57"/>
  <c r="M162" i="57"/>
  <c r="L162" i="57"/>
  <c r="I162" i="57"/>
  <c r="H162" i="57"/>
  <c r="G162" i="57"/>
  <c r="C162" i="57"/>
  <c r="N161" i="57"/>
  <c r="M161" i="57"/>
  <c r="L161" i="57"/>
  <c r="I161" i="57"/>
  <c r="H161" i="57"/>
  <c r="G161" i="57"/>
  <c r="C161" i="57"/>
  <c r="N160" i="57"/>
  <c r="M160" i="57"/>
  <c r="L160" i="57"/>
  <c r="I160" i="57"/>
  <c r="H160" i="57"/>
  <c r="G160" i="57"/>
  <c r="C160" i="57"/>
  <c r="N159" i="57"/>
  <c r="M159" i="57"/>
  <c r="L159" i="57"/>
  <c r="I159" i="57"/>
  <c r="H159" i="57"/>
  <c r="G159" i="57"/>
  <c r="C159" i="57"/>
  <c r="N158" i="57"/>
  <c r="M158" i="57"/>
  <c r="L158" i="57"/>
  <c r="I158" i="57"/>
  <c r="H158" i="57"/>
  <c r="G158" i="57"/>
  <c r="C158" i="57"/>
  <c r="N157" i="57"/>
  <c r="M157" i="57"/>
  <c r="L157" i="57"/>
  <c r="I157" i="57"/>
  <c r="H157" i="57"/>
  <c r="G157" i="57"/>
  <c r="C157" i="57"/>
  <c r="N156" i="57"/>
  <c r="M156" i="57"/>
  <c r="L156" i="57"/>
  <c r="I156" i="57"/>
  <c r="H156" i="57"/>
  <c r="G156" i="57"/>
  <c r="C156" i="57"/>
  <c r="N155" i="57"/>
  <c r="M155" i="57"/>
  <c r="L155" i="57"/>
  <c r="I155" i="57"/>
  <c r="H155" i="57"/>
  <c r="G155" i="57"/>
  <c r="C155" i="57"/>
  <c r="N154" i="57"/>
  <c r="M154" i="57"/>
  <c r="L154" i="57"/>
  <c r="I154" i="57"/>
  <c r="H154" i="57"/>
  <c r="G154" i="57"/>
  <c r="C154" i="57"/>
  <c r="N153" i="57"/>
  <c r="M153" i="57"/>
  <c r="L153" i="57"/>
  <c r="I153" i="57"/>
  <c r="H153" i="57"/>
  <c r="G153" i="57"/>
  <c r="C153" i="57"/>
  <c r="N152" i="57"/>
  <c r="M152" i="57"/>
  <c r="L152" i="57"/>
  <c r="I152" i="57"/>
  <c r="H152" i="57"/>
  <c r="G152" i="57"/>
  <c r="C152" i="57"/>
  <c r="N151" i="57"/>
  <c r="M151" i="57"/>
  <c r="L151" i="57"/>
  <c r="I151" i="57"/>
  <c r="H151" i="57"/>
  <c r="G151" i="57"/>
  <c r="C151" i="57"/>
  <c r="N150" i="57"/>
  <c r="M150" i="57"/>
  <c r="L150" i="57"/>
  <c r="I150" i="57"/>
  <c r="H150" i="57"/>
  <c r="G150" i="57"/>
  <c r="C150" i="57"/>
  <c r="N149" i="57"/>
  <c r="M149" i="57"/>
  <c r="L149" i="57"/>
  <c r="I149" i="57"/>
  <c r="H149" i="57"/>
  <c r="G149" i="57"/>
  <c r="C149" i="57"/>
  <c r="N148" i="57"/>
  <c r="M148" i="57"/>
  <c r="L148" i="57"/>
  <c r="I148" i="57"/>
  <c r="H148" i="57"/>
  <c r="G148" i="57"/>
  <c r="C148" i="57"/>
  <c r="N147" i="57"/>
  <c r="M147" i="57"/>
  <c r="L147" i="57"/>
  <c r="I147" i="57"/>
  <c r="H147" i="57"/>
  <c r="G147" i="57"/>
  <c r="C147" i="57"/>
  <c r="N146" i="57"/>
  <c r="M146" i="57"/>
  <c r="L146" i="57"/>
  <c r="I146" i="57"/>
  <c r="H146" i="57"/>
  <c r="G146" i="57"/>
  <c r="C146" i="57"/>
  <c r="N145" i="57"/>
  <c r="M145" i="57"/>
  <c r="L145" i="57"/>
  <c r="I145" i="57"/>
  <c r="H145" i="57"/>
  <c r="G145" i="57"/>
  <c r="C145" i="57"/>
  <c r="N144" i="57"/>
  <c r="M144" i="57"/>
  <c r="L144" i="57"/>
  <c r="I144" i="57"/>
  <c r="H144" i="57"/>
  <c r="G144" i="57"/>
  <c r="C144" i="57"/>
  <c r="N143" i="57"/>
  <c r="M143" i="57"/>
  <c r="L143" i="57"/>
  <c r="I143" i="57"/>
  <c r="H143" i="57"/>
  <c r="G143" i="57"/>
  <c r="C143" i="57"/>
  <c r="N142" i="57"/>
  <c r="M142" i="57"/>
  <c r="L142" i="57"/>
  <c r="I142" i="57"/>
  <c r="H142" i="57"/>
  <c r="G142" i="57"/>
  <c r="C142" i="57"/>
  <c r="N141" i="57"/>
  <c r="M141" i="57"/>
  <c r="L141" i="57"/>
  <c r="I141" i="57"/>
  <c r="H141" i="57"/>
  <c r="G141" i="57"/>
  <c r="C141" i="57"/>
  <c r="N140" i="57"/>
  <c r="M140" i="57"/>
  <c r="L140" i="57"/>
  <c r="I140" i="57"/>
  <c r="H140" i="57"/>
  <c r="G140" i="57"/>
  <c r="C140" i="57"/>
  <c r="N139" i="57"/>
  <c r="M139" i="57"/>
  <c r="L139" i="57"/>
  <c r="I139" i="57"/>
  <c r="H139" i="57"/>
  <c r="G139" i="57"/>
  <c r="C139" i="57"/>
  <c r="N138" i="57"/>
  <c r="M138" i="57"/>
  <c r="L138" i="57"/>
  <c r="I138" i="57"/>
  <c r="H138" i="57"/>
  <c r="G138" i="57"/>
  <c r="C138" i="57"/>
  <c r="N137" i="57"/>
  <c r="M137" i="57"/>
  <c r="L137" i="57"/>
  <c r="I137" i="57"/>
  <c r="H137" i="57"/>
  <c r="G137" i="57"/>
  <c r="C137" i="57"/>
  <c r="N136" i="57"/>
  <c r="M136" i="57"/>
  <c r="L136" i="57"/>
  <c r="I136" i="57"/>
  <c r="H136" i="57"/>
  <c r="G136" i="57"/>
  <c r="C136" i="57"/>
  <c r="N135" i="57"/>
  <c r="M135" i="57"/>
  <c r="L135" i="57"/>
  <c r="I135" i="57"/>
  <c r="H135" i="57"/>
  <c r="G135" i="57"/>
  <c r="C135" i="57"/>
  <c r="N134" i="57"/>
  <c r="M134" i="57"/>
  <c r="L134" i="57"/>
  <c r="I134" i="57"/>
  <c r="H134" i="57"/>
  <c r="G134" i="57"/>
  <c r="C134" i="57"/>
  <c r="N133" i="57"/>
  <c r="M133" i="57"/>
  <c r="L133" i="57"/>
  <c r="I133" i="57"/>
  <c r="H133" i="57"/>
  <c r="G133" i="57"/>
  <c r="C133" i="57"/>
  <c r="N132" i="57"/>
  <c r="M132" i="57"/>
  <c r="L132" i="57"/>
  <c r="I132" i="57"/>
  <c r="H132" i="57"/>
  <c r="G132" i="57"/>
  <c r="C132" i="57"/>
  <c r="N131" i="57"/>
  <c r="M131" i="57"/>
  <c r="L131" i="57"/>
  <c r="I131" i="57"/>
  <c r="H131" i="57"/>
  <c r="G131" i="57"/>
  <c r="C131" i="57"/>
  <c r="N130" i="57"/>
  <c r="M130" i="57"/>
  <c r="L130" i="57"/>
  <c r="I130" i="57"/>
  <c r="H130" i="57"/>
  <c r="G130" i="57"/>
  <c r="C130" i="57"/>
  <c r="N129" i="57"/>
  <c r="M129" i="57"/>
  <c r="L129" i="57"/>
  <c r="I129" i="57"/>
  <c r="H129" i="57"/>
  <c r="G129" i="57"/>
  <c r="C129" i="57"/>
  <c r="N128" i="57"/>
  <c r="M128" i="57"/>
  <c r="L128" i="57"/>
  <c r="I128" i="57"/>
  <c r="H128" i="57"/>
  <c r="G128" i="57"/>
  <c r="C128" i="57"/>
  <c r="N127" i="57"/>
  <c r="M127" i="57"/>
  <c r="L127" i="57"/>
  <c r="I127" i="57"/>
  <c r="H127" i="57"/>
  <c r="G127" i="57"/>
  <c r="C127" i="57"/>
  <c r="N126" i="57"/>
  <c r="M126" i="57"/>
  <c r="L126" i="57"/>
  <c r="I126" i="57"/>
  <c r="H126" i="57"/>
  <c r="G126" i="57"/>
  <c r="C126" i="57"/>
  <c r="N125" i="57"/>
  <c r="M125" i="57"/>
  <c r="L125" i="57"/>
  <c r="I125" i="57"/>
  <c r="H125" i="57"/>
  <c r="G125" i="57"/>
  <c r="C125" i="57"/>
  <c r="N124" i="57"/>
  <c r="M124" i="57"/>
  <c r="L124" i="57"/>
  <c r="I124" i="57"/>
  <c r="H124" i="57"/>
  <c r="G124" i="57"/>
  <c r="C124" i="57"/>
  <c r="N123" i="57"/>
  <c r="M123" i="57"/>
  <c r="L123" i="57"/>
  <c r="I123" i="57"/>
  <c r="H123" i="57"/>
  <c r="G123" i="57"/>
  <c r="C123" i="57"/>
  <c r="N122" i="57"/>
  <c r="M122" i="57"/>
  <c r="L122" i="57"/>
  <c r="I122" i="57"/>
  <c r="H122" i="57"/>
  <c r="G122" i="57"/>
  <c r="C122" i="57"/>
  <c r="N121" i="57"/>
  <c r="M121" i="57"/>
  <c r="L121" i="57"/>
  <c r="I121" i="57"/>
  <c r="H121" i="57"/>
  <c r="G121" i="57"/>
  <c r="C121" i="57"/>
  <c r="N120" i="57"/>
  <c r="M120" i="57"/>
  <c r="L120" i="57"/>
  <c r="I120" i="57"/>
  <c r="H120" i="57"/>
  <c r="G120" i="57"/>
  <c r="C120" i="57"/>
  <c r="N119" i="57"/>
  <c r="M119" i="57"/>
  <c r="L119" i="57"/>
  <c r="I119" i="57"/>
  <c r="H119" i="57"/>
  <c r="G119" i="57"/>
  <c r="C119" i="57"/>
  <c r="N118" i="57"/>
  <c r="M118" i="57"/>
  <c r="L118" i="57"/>
  <c r="I118" i="57"/>
  <c r="H118" i="57"/>
  <c r="G118" i="57"/>
  <c r="C118" i="57"/>
  <c r="N117" i="57"/>
  <c r="M117" i="57"/>
  <c r="L117" i="57"/>
  <c r="I117" i="57"/>
  <c r="H117" i="57"/>
  <c r="G117" i="57"/>
  <c r="C117" i="57"/>
  <c r="N116" i="57"/>
  <c r="M116" i="57"/>
  <c r="L116" i="57"/>
  <c r="I116" i="57"/>
  <c r="H116" i="57"/>
  <c r="G116" i="57"/>
  <c r="C116" i="57"/>
  <c r="N115" i="57"/>
  <c r="M115" i="57"/>
  <c r="L115" i="57"/>
  <c r="I115" i="57"/>
  <c r="H115" i="57"/>
  <c r="G115" i="57"/>
  <c r="C115" i="57"/>
  <c r="N114" i="57"/>
  <c r="M114" i="57"/>
  <c r="L114" i="57"/>
  <c r="I114" i="57"/>
  <c r="H114" i="57"/>
  <c r="G114" i="57"/>
  <c r="C114" i="57"/>
  <c r="N113" i="57"/>
  <c r="M113" i="57"/>
  <c r="L113" i="57"/>
  <c r="I113" i="57"/>
  <c r="H113" i="57"/>
  <c r="G113" i="57"/>
  <c r="C113" i="57"/>
  <c r="N112" i="57"/>
  <c r="M112" i="57"/>
  <c r="L112" i="57"/>
  <c r="I112" i="57"/>
  <c r="H112" i="57"/>
  <c r="G112" i="57"/>
  <c r="C112" i="57"/>
  <c r="N111" i="57"/>
  <c r="M111" i="57"/>
  <c r="L111" i="57"/>
  <c r="I111" i="57"/>
  <c r="H111" i="57"/>
  <c r="G111" i="57"/>
  <c r="C111" i="57"/>
  <c r="N110" i="57"/>
  <c r="M110" i="57"/>
  <c r="L110" i="57"/>
  <c r="I110" i="57"/>
  <c r="H110" i="57"/>
  <c r="G110" i="57"/>
  <c r="C110" i="57"/>
  <c r="N109" i="57"/>
  <c r="M109" i="57"/>
  <c r="L109" i="57"/>
  <c r="I109" i="57"/>
  <c r="H109" i="57"/>
  <c r="G109" i="57"/>
  <c r="C109" i="57"/>
  <c r="N108" i="57"/>
  <c r="M108" i="57"/>
  <c r="L108" i="57"/>
  <c r="I108" i="57"/>
  <c r="H108" i="57"/>
  <c r="G108" i="57"/>
  <c r="C108" i="57"/>
  <c r="N107" i="57"/>
  <c r="M107" i="57"/>
  <c r="L107" i="57"/>
  <c r="I107" i="57"/>
  <c r="H107" i="57"/>
  <c r="G107" i="57"/>
  <c r="C107" i="57"/>
  <c r="N106" i="57"/>
  <c r="M106" i="57"/>
  <c r="L106" i="57"/>
  <c r="I106" i="57"/>
  <c r="H106" i="57"/>
  <c r="G106" i="57"/>
  <c r="C106" i="57"/>
  <c r="N105" i="57"/>
  <c r="M105" i="57"/>
  <c r="L105" i="57"/>
  <c r="I105" i="57"/>
  <c r="H105" i="57"/>
  <c r="G105" i="57"/>
  <c r="C105" i="57"/>
  <c r="N104" i="57"/>
  <c r="M104" i="57"/>
  <c r="L104" i="57"/>
  <c r="I104" i="57"/>
  <c r="H104" i="57"/>
  <c r="G104" i="57"/>
  <c r="C104" i="57"/>
  <c r="N103" i="57"/>
  <c r="M103" i="57"/>
  <c r="L103" i="57"/>
  <c r="I103" i="57"/>
  <c r="H103" i="57"/>
  <c r="G103" i="57"/>
  <c r="C103" i="57"/>
  <c r="N102" i="57"/>
  <c r="M102" i="57"/>
  <c r="L102" i="57"/>
  <c r="I102" i="57"/>
  <c r="H102" i="57"/>
  <c r="G102" i="57"/>
  <c r="C102" i="57"/>
  <c r="N101" i="57"/>
  <c r="M101" i="57"/>
  <c r="L101" i="57"/>
  <c r="I101" i="57"/>
  <c r="H101" i="57"/>
  <c r="G101" i="57"/>
  <c r="C101" i="57"/>
  <c r="N100" i="57"/>
  <c r="M100" i="57"/>
  <c r="L100" i="57"/>
  <c r="I100" i="57"/>
  <c r="H100" i="57"/>
  <c r="G100" i="57"/>
  <c r="C100" i="57"/>
  <c r="N99" i="57"/>
  <c r="M99" i="57"/>
  <c r="L99" i="57"/>
  <c r="I99" i="57"/>
  <c r="H99" i="57"/>
  <c r="G99" i="57"/>
  <c r="C99" i="57"/>
  <c r="N98" i="57"/>
  <c r="M98" i="57"/>
  <c r="L98" i="57"/>
  <c r="I98" i="57"/>
  <c r="H98" i="57"/>
  <c r="G98" i="57"/>
  <c r="C98" i="57"/>
  <c r="N97" i="57"/>
  <c r="M97" i="57"/>
  <c r="L97" i="57"/>
  <c r="I97" i="57"/>
  <c r="H97" i="57"/>
  <c r="G97" i="57"/>
  <c r="C97" i="57"/>
  <c r="N96" i="57"/>
  <c r="M96" i="57"/>
  <c r="L96" i="57"/>
  <c r="I96" i="57"/>
  <c r="H96" i="57"/>
  <c r="G96" i="57"/>
  <c r="C96" i="57"/>
  <c r="N95" i="57"/>
  <c r="M95" i="57"/>
  <c r="L95" i="57"/>
  <c r="I95" i="57"/>
  <c r="H95" i="57"/>
  <c r="G95" i="57"/>
  <c r="C95" i="57"/>
  <c r="N94" i="57"/>
  <c r="M94" i="57"/>
  <c r="L94" i="57"/>
  <c r="I94" i="57"/>
  <c r="H94" i="57"/>
  <c r="G94" i="57"/>
  <c r="C94" i="57"/>
  <c r="N93" i="57"/>
  <c r="M93" i="57"/>
  <c r="L93" i="57"/>
  <c r="I93" i="57"/>
  <c r="H93" i="57"/>
  <c r="G93" i="57"/>
  <c r="C93" i="57"/>
  <c r="N92" i="57"/>
  <c r="M92" i="57"/>
  <c r="L92" i="57"/>
  <c r="I92" i="57"/>
  <c r="H92" i="57"/>
  <c r="G92" i="57"/>
  <c r="C92" i="57"/>
  <c r="N91" i="57"/>
  <c r="M91" i="57"/>
  <c r="L91" i="57"/>
  <c r="I91" i="57"/>
  <c r="H91" i="57"/>
  <c r="G91" i="57"/>
  <c r="C91" i="57"/>
  <c r="N90" i="57"/>
  <c r="M90" i="57"/>
  <c r="L90" i="57"/>
  <c r="I90" i="57"/>
  <c r="H90" i="57"/>
  <c r="G90" i="57"/>
  <c r="C90" i="57"/>
  <c r="N89" i="57"/>
  <c r="M89" i="57"/>
  <c r="L89" i="57"/>
  <c r="I89" i="57"/>
  <c r="H89" i="57"/>
  <c r="G89" i="57"/>
  <c r="C89" i="57"/>
  <c r="N88" i="57"/>
  <c r="M88" i="57"/>
  <c r="L88" i="57"/>
  <c r="I88" i="57"/>
  <c r="H88" i="57"/>
  <c r="G88" i="57"/>
  <c r="C88" i="57"/>
  <c r="N87" i="57"/>
  <c r="M87" i="57"/>
  <c r="L87" i="57"/>
  <c r="I87" i="57"/>
  <c r="H87" i="57"/>
  <c r="G87" i="57"/>
  <c r="C87" i="57"/>
  <c r="N86" i="57"/>
  <c r="M86" i="57"/>
  <c r="L86" i="57"/>
  <c r="I86" i="57"/>
  <c r="H86" i="57"/>
  <c r="G86" i="57"/>
  <c r="C86" i="57"/>
  <c r="N85" i="57"/>
  <c r="M85" i="57"/>
  <c r="L85" i="57"/>
  <c r="I85" i="57"/>
  <c r="H85" i="57"/>
  <c r="G85" i="57"/>
  <c r="C85" i="57"/>
  <c r="N84" i="57"/>
  <c r="M84" i="57"/>
  <c r="L84" i="57"/>
  <c r="I84" i="57"/>
  <c r="H84" i="57"/>
  <c r="G84" i="57"/>
  <c r="C84" i="57"/>
  <c r="N83" i="57"/>
  <c r="M83" i="57"/>
  <c r="L83" i="57"/>
  <c r="I83" i="57"/>
  <c r="H83" i="57"/>
  <c r="G83" i="57"/>
  <c r="C83" i="57"/>
  <c r="N82" i="57"/>
  <c r="M82" i="57"/>
  <c r="L82" i="57"/>
  <c r="I82" i="57"/>
  <c r="H82" i="57"/>
  <c r="G82" i="57"/>
  <c r="C82" i="57"/>
  <c r="N81" i="57"/>
  <c r="M81" i="57"/>
  <c r="L81" i="57"/>
  <c r="I81" i="57"/>
  <c r="H81" i="57"/>
  <c r="G81" i="57"/>
  <c r="C81" i="57"/>
  <c r="N80" i="57"/>
  <c r="M80" i="57"/>
  <c r="L80" i="57"/>
  <c r="I80" i="57"/>
  <c r="H80" i="57"/>
  <c r="G80" i="57"/>
  <c r="C80" i="57"/>
  <c r="N79" i="57"/>
  <c r="M79" i="57"/>
  <c r="L79" i="57"/>
  <c r="I79" i="57"/>
  <c r="H79" i="57"/>
  <c r="G79" i="57"/>
  <c r="C79" i="57"/>
  <c r="N78" i="57"/>
  <c r="M78" i="57"/>
  <c r="L78" i="57"/>
  <c r="I78" i="57"/>
  <c r="H78" i="57"/>
  <c r="G78" i="57"/>
  <c r="C78" i="57"/>
  <c r="N77" i="57"/>
  <c r="M77" i="57"/>
  <c r="L77" i="57"/>
  <c r="I77" i="57"/>
  <c r="H77" i="57"/>
  <c r="G77" i="57"/>
  <c r="C77" i="57"/>
  <c r="N76" i="57"/>
  <c r="M76" i="57"/>
  <c r="L76" i="57"/>
  <c r="I76" i="57"/>
  <c r="H76" i="57"/>
  <c r="G76" i="57"/>
  <c r="C76" i="57"/>
  <c r="N75" i="57"/>
  <c r="M75" i="57"/>
  <c r="L75" i="57"/>
  <c r="I75" i="57"/>
  <c r="H75" i="57"/>
  <c r="G75" i="57"/>
  <c r="C75" i="57"/>
  <c r="N74" i="57"/>
  <c r="M74" i="57"/>
  <c r="L74" i="57"/>
  <c r="I74" i="57"/>
  <c r="H74" i="57"/>
  <c r="G74" i="57"/>
  <c r="C74" i="57"/>
  <c r="N73" i="57"/>
  <c r="M73" i="57"/>
  <c r="L73" i="57"/>
  <c r="I73" i="57"/>
  <c r="H73" i="57"/>
  <c r="G73" i="57"/>
  <c r="C73" i="57"/>
  <c r="N72" i="57"/>
  <c r="M72" i="57"/>
  <c r="L72" i="57"/>
  <c r="I72" i="57"/>
  <c r="H72" i="57"/>
  <c r="G72" i="57"/>
  <c r="C72" i="57"/>
  <c r="N71" i="57"/>
  <c r="M71" i="57"/>
  <c r="L71" i="57"/>
  <c r="I71" i="57"/>
  <c r="H71" i="57"/>
  <c r="G71" i="57"/>
  <c r="C71" i="57"/>
  <c r="N70" i="57"/>
  <c r="M70" i="57"/>
  <c r="L70" i="57"/>
  <c r="I70" i="57"/>
  <c r="H70" i="57"/>
  <c r="G70" i="57"/>
  <c r="C70" i="57"/>
  <c r="N69" i="57"/>
  <c r="M69" i="57"/>
  <c r="L69" i="57"/>
  <c r="I69" i="57"/>
  <c r="H69" i="57"/>
  <c r="G69" i="57"/>
  <c r="C69" i="57"/>
  <c r="N68" i="57"/>
  <c r="M68" i="57"/>
  <c r="L68" i="57"/>
  <c r="I68" i="57"/>
  <c r="H68" i="57"/>
  <c r="G68" i="57"/>
  <c r="C68" i="57"/>
  <c r="N67" i="57"/>
  <c r="M67" i="57"/>
  <c r="L67" i="57"/>
  <c r="I67" i="57"/>
  <c r="H67" i="57"/>
  <c r="G67" i="57"/>
  <c r="C67" i="57"/>
  <c r="N66" i="57"/>
  <c r="M66" i="57"/>
  <c r="L66" i="57"/>
  <c r="I66" i="57"/>
  <c r="H66" i="57"/>
  <c r="G66" i="57"/>
  <c r="C66" i="57"/>
  <c r="N65" i="57"/>
  <c r="M65" i="57"/>
  <c r="L65" i="57"/>
  <c r="I65" i="57"/>
  <c r="H65" i="57"/>
  <c r="G65" i="57"/>
  <c r="C65" i="57"/>
  <c r="N64" i="57"/>
  <c r="M64" i="57"/>
  <c r="L64" i="57"/>
  <c r="I64" i="57"/>
  <c r="H64" i="57"/>
  <c r="G64" i="57"/>
  <c r="C64" i="57"/>
  <c r="N63" i="57"/>
  <c r="M63" i="57"/>
  <c r="L63" i="57"/>
  <c r="I63" i="57"/>
  <c r="H63" i="57"/>
  <c r="G63" i="57"/>
  <c r="C63" i="57"/>
  <c r="N62" i="57"/>
  <c r="M62" i="57"/>
  <c r="L62" i="57"/>
  <c r="I62" i="57"/>
  <c r="H62" i="57"/>
  <c r="G62" i="57"/>
  <c r="C62" i="57"/>
  <c r="N61" i="57"/>
  <c r="M61" i="57"/>
  <c r="L61" i="57"/>
  <c r="I61" i="57"/>
  <c r="H61" i="57"/>
  <c r="G61" i="57"/>
  <c r="C61" i="57"/>
  <c r="N60" i="57"/>
  <c r="M60" i="57"/>
  <c r="L60" i="57"/>
  <c r="I60" i="57"/>
  <c r="H60" i="57"/>
  <c r="G60" i="57"/>
  <c r="C60" i="57"/>
  <c r="N59" i="57"/>
  <c r="M59" i="57"/>
  <c r="L59" i="57"/>
  <c r="I59" i="57"/>
  <c r="H59" i="57"/>
  <c r="G59" i="57"/>
  <c r="C59" i="57"/>
  <c r="N58" i="57"/>
  <c r="M58" i="57"/>
  <c r="L58" i="57"/>
  <c r="I58" i="57"/>
  <c r="H58" i="57"/>
  <c r="G58" i="57"/>
  <c r="C58" i="57"/>
  <c r="N57" i="57"/>
  <c r="M57" i="57"/>
  <c r="L57" i="57"/>
  <c r="I57" i="57"/>
  <c r="H57" i="57"/>
  <c r="G57" i="57"/>
  <c r="C57" i="57"/>
  <c r="N56" i="57"/>
  <c r="M56" i="57"/>
  <c r="L56" i="57"/>
  <c r="I56" i="57"/>
  <c r="H56" i="57"/>
  <c r="G56" i="57"/>
  <c r="C56" i="57"/>
  <c r="N55" i="57"/>
  <c r="M55" i="57"/>
  <c r="L55" i="57"/>
  <c r="I55" i="57"/>
  <c r="H55" i="57"/>
  <c r="G55" i="57"/>
  <c r="C55" i="57"/>
  <c r="N54" i="57"/>
  <c r="M54" i="57"/>
  <c r="L54" i="57"/>
  <c r="I54" i="57"/>
  <c r="H54" i="57"/>
  <c r="G54" i="57"/>
  <c r="C54" i="57"/>
  <c r="N53" i="57"/>
  <c r="M53" i="57"/>
  <c r="L53" i="57"/>
  <c r="I53" i="57"/>
  <c r="H53" i="57"/>
  <c r="G53" i="57"/>
  <c r="C53" i="57"/>
  <c r="N52" i="57"/>
  <c r="M52" i="57"/>
  <c r="L52" i="57"/>
  <c r="I52" i="57"/>
  <c r="H52" i="57"/>
  <c r="G52" i="57"/>
  <c r="C52" i="57"/>
  <c r="N51" i="57"/>
  <c r="M51" i="57"/>
  <c r="L51" i="57"/>
  <c r="I51" i="57"/>
  <c r="H51" i="57"/>
  <c r="G51" i="57"/>
  <c r="C51" i="57"/>
  <c r="N50" i="57"/>
  <c r="M50" i="57"/>
  <c r="L50" i="57"/>
  <c r="I50" i="57"/>
  <c r="H50" i="57"/>
  <c r="G50" i="57"/>
  <c r="C50" i="57"/>
  <c r="N49" i="57"/>
  <c r="M49" i="57"/>
  <c r="L49" i="57"/>
  <c r="I49" i="57"/>
  <c r="H49" i="57"/>
  <c r="G49" i="57"/>
  <c r="C49" i="57"/>
  <c r="N48" i="57"/>
  <c r="M48" i="57"/>
  <c r="L48" i="57"/>
  <c r="I48" i="57"/>
  <c r="H48" i="57"/>
  <c r="G48" i="57"/>
  <c r="C48" i="57"/>
  <c r="N47" i="57"/>
  <c r="M47" i="57"/>
  <c r="L47" i="57"/>
  <c r="I47" i="57"/>
  <c r="H47" i="57"/>
  <c r="G47" i="57"/>
  <c r="C47" i="57"/>
  <c r="N46" i="57"/>
  <c r="M46" i="57"/>
  <c r="L46" i="57"/>
  <c r="I46" i="57"/>
  <c r="H46" i="57"/>
  <c r="G46" i="57"/>
  <c r="C46" i="57"/>
  <c r="N45" i="57"/>
  <c r="M45" i="57"/>
  <c r="L45" i="57"/>
  <c r="I45" i="57"/>
  <c r="H45" i="57"/>
  <c r="G45" i="57"/>
  <c r="C45" i="57"/>
  <c r="N44" i="57"/>
  <c r="M44" i="57"/>
  <c r="L44" i="57"/>
  <c r="I44" i="57"/>
  <c r="H44" i="57"/>
  <c r="G44" i="57"/>
  <c r="C44" i="57"/>
  <c r="N43" i="57"/>
  <c r="M43" i="57"/>
  <c r="L43" i="57"/>
  <c r="I43" i="57"/>
  <c r="H43" i="57"/>
  <c r="G43" i="57"/>
  <c r="C43" i="57"/>
  <c r="N42" i="57"/>
  <c r="M42" i="57"/>
  <c r="L42" i="57"/>
  <c r="I42" i="57"/>
  <c r="H42" i="57"/>
  <c r="G42" i="57"/>
  <c r="C42" i="57"/>
  <c r="N41" i="57"/>
  <c r="M41" i="57"/>
  <c r="L41" i="57"/>
  <c r="I41" i="57"/>
  <c r="H41" i="57"/>
  <c r="G41" i="57"/>
  <c r="C41" i="57"/>
  <c r="N40" i="57"/>
  <c r="M40" i="57"/>
  <c r="L40" i="57"/>
  <c r="I40" i="57"/>
  <c r="H40" i="57"/>
  <c r="G40" i="57"/>
  <c r="C40" i="57"/>
  <c r="N39" i="57"/>
  <c r="M39" i="57"/>
  <c r="L39" i="57"/>
  <c r="I39" i="57"/>
  <c r="H39" i="57"/>
  <c r="G39" i="57"/>
  <c r="C39" i="57"/>
  <c r="N38" i="57"/>
  <c r="M38" i="57"/>
  <c r="L38" i="57"/>
  <c r="I38" i="57"/>
  <c r="H38" i="57"/>
  <c r="G38" i="57"/>
  <c r="C38" i="57"/>
  <c r="N37" i="57"/>
  <c r="M37" i="57"/>
  <c r="L37" i="57"/>
  <c r="I37" i="57"/>
  <c r="H37" i="57"/>
  <c r="G37" i="57"/>
  <c r="C37" i="57"/>
  <c r="N36" i="57"/>
  <c r="M36" i="57"/>
  <c r="L36" i="57"/>
  <c r="I36" i="57"/>
  <c r="H36" i="57"/>
  <c r="G36" i="57"/>
  <c r="C36" i="57"/>
  <c r="N35" i="57"/>
  <c r="M35" i="57"/>
  <c r="L35" i="57"/>
  <c r="I35" i="57"/>
  <c r="H35" i="57"/>
  <c r="G35" i="57"/>
  <c r="C35" i="57"/>
  <c r="N34" i="57"/>
  <c r="M34" i="57"/>
  <c r="L34" i="57"/>
  <c r="I34" i="57"/>
  <c r="H34" i="57"/>
  <c r="G34" i="57"/>
  <c r="C34" i="57"/>
  <c r="N33" i="57"/>
  <c r="M33" i="57"/>
  <c r="L33" i="57"/>
  <c r="I33" i="57"/>
  <c r="H33" i="57"/>
  <c r="G33" i="57"/>
  <c r="C33" i="57"/>
  <c r="N32" i="57"/>
  <c r="M32" i="57"/>
  <c r="L32" i="57"/>
  <c r="I32" i="57"/>
  <c r="H32" i="57"/>
  <c r="G32" i="57"/>
  <c r="C32" i="57"/>
  <c r="N31" i="57"/>
  <c r="M31" i="57"/>
  <c r="L31" i="57"/>
  <c r="I31" i="57"/>
  <c r="H31" i="57"/>
  <c r="G31" i="57"/>
  <c r="C31" i="57"/>
  <c r="N30" i="57"/>
  <c r="M30" i="57"/>
  <c r="L30" i="57"/>
  <c r="I30" i="57"/>
  <c r="H30" i="57"/>
  <c r="G30" i="57"/>
  <c r="C30" i="57"/>
  <c r="N29" i="57"/>
  <c r="M29" i="57"/>
  <c r="L29" i="57"/>
  <c r="I29" i="57"/>
  <c r="H29" i="57"/>
  <c r="G29" i="57"/>
  <c r="C29" i="57"/>
  <c r="N28" i="57"/>
  <c r="M28" i="57"/>
  <c r="L28" i="57"/>
  <c r="I28" i="57"/>
  <c r="H28" i="57"/>
  <c r="G28" i="57"/>
  <c r="C28" i="57"/>
  <c r="N27" i="57"/>
  <c r="M27" i="57"/>
  <c r="L27" i="57"/>
  <c r="I27" i="57"/>
  <c r="H27" i="57"/>
  <c r="G27" i="57"/>
  <c r="C27" i="57"/>
  <c r="N26" i="57"/>
  <c r="M26" i="57"/>
  <c r="L26" i="57"/>
  <c r="I26" i="57"/>
  <c r="H26" i="57"/>
  <c r="G26" i="57"/>
  <c r="C26" i="57"/>
  <c r="N25" i="57"/>
  <c r="M25" i="57"/>
  <c r="L25" i="57"/>
  <c r="I25" i="57"/>
  <c r="H25" i="57"/>
  <c r="G25" i="57"/>
  <c r="C25" i="57"/>
  <c r="N24" i="57"/>
  <c r="M24" i="57"/>
  <c r="L24" i="57"/>
  <c r="I24" i="57"/>
  <c r="H24" i="57"/>
  <c r="G24" i="57"/>
  <c r="C24" i="57"/>
  <c r="N23" i="57"/>
  <c r="M23" i="57"/>
  <c r="L23" i="57"/>
  <c r="I23" i="57"/>
  <c r="H23" i="57"/>
  <c r="G23" i="57"/>
  <c r="C23" i="57"/>
  <c r="N22" i="57"/>
  <c r="M22" i="57"/>
  <c r="L22" i="57"/>
  <c r="I22" i="57"/>
  <c r="H22" i="57"/>
  <c r="G22" i="57"/>
  <c r="C22" i="57"/>
  <c r="N21" i="57"/>
  <c r="M21" i="57"/>
  <c r="L21" i="57"/>
  <c r="I21" i="57"/>
  <c r="H21" i="57"/>
  <c r="G21" i="57"/>
  <c r="C21" i="57"/>
  <c r="N20" i="57"/>
  <c r="M20" i="57"/>
  <c r="L20" i="57"/>
  <c r="I20" i="57"/>
  <c r="H20" i="57"/>
  <c r="G20" i="57"/>
  <c r="C20" i="57"/>
  <c r="N19" i="57"/>
  <c r="M19" i="57"/>
  <c r="L19" i="57"/>
  <c r="I19" i="57"/>
  <c r="H19" i="57"/>
  <c r="G19" i="57"/>
  <c r="C19" i="57"/>
  <c r="N18" i="57"/>
  <c r="M18" i="57"/>
  <c r="L18" i="57"/>
  <c r="I18" i="57"/>
  <c r="H18" i="57"/>
  <c r="G18" i="57"/>
  <c r="C18" i="57"/>
  <c r="N17" i="57"/>
  <c r="M17" i="57"/>
  <c r="L17" i="57"/>
  <c r="I17" i="57"/>
  <c r="H17" i="57"/>
  <c r="G17" i="57"/>
  <c r="C17" i="57"/>
  <c r="N16" i="57"/>
  <c r="M16" i="57"/>
  <c r="L16" i="57"/>
  <c r="I16" i="57"/>
  <c r="H16" i="57"/>
  <c r="G16" i="57"/>
  <c r="C16" i="57"/>
  <c r="N15" i="57"/>
  <c r="M15" i="57"/>
  <c r="L15" i="57"/>
  <c r="I15" i="57"/>
  <c r="H15" i="57"/>
  <c r="G15" i="57"/>
  <c r="C15" i="57"/>
  <c r="N14" i="57"/>
  <c r="M14" i="57"/>
  <c r="L14" i="57"/>
  <c r="I14" i="57"/>
  <c r="H14" i="57"/>
  <c r="G14" i="57"/>
  <c r="C14" i="57"/>
  <c r="N13" i="57"/>
  <c r="M13" i="57"/>
  <c r="L13" i="57"/>
  <c r="I13" i="57"/>
  <c r="H13" i="57"/>
  <c r="G13" i="57"/>
  <c r="C13" i="57"/>
  <c r="N12" i="57"/>
  <c r="M12" i="57"/>
  <c r="L12" i="57"/>
  <c r="I12" i="57"/>
  <c r="H12" i="57"/>
  <c r="G12" i="57"/>
  <c r="C12" i="57"/>
  <c r="N11" i="57"/>
  <c r="M11" i="57"/>
  <c r="L11" i="57"/>
  <c r="I11" i="57"/>
  <c r="H11" i="57"/>
  <c r="G11" i="57"/>
  <c r="C11" i="57"/>
  <c r="N10" i="57"/>
  <c r="M10" i="57"/>
  <c r="L10" i="57"/>
  <c r="I10" i="57"/>
  <c r="H10" i="57"/>
  <c r="G10" i="57"/>
  <c r="C10" i="57"/>
  <c r="H4" i="57"/>
  <c r="H3" i="57"/>
  <c r="H366" i="57" l="1"/>
  <c r="M352" i="57"/>
  <c r="H348" i="57"/>
  <c r="M351" i="57"/>
  <c r="H356" i="57"/>
  <c r="M367" i="57"/>
  <c r="H323" i="57"/>
  <c r="M334" i="57"/>
  <c r="H339" i="57"/>
  <c r="M342" i="57"/>
  <c r="H347" i="57"/>
  <c r="M350" i="57"/>
  <c r="H355" i="57"/>
  <c r="M366" i="57"/>
  <c r="M356" i="57"/>
  <c r="H367" i="57"/>
  <c r="E370" i="57"/>
  <c r="J370" i="57"/>
  <c r="R61" i="4" l="1"/>
  <c r="R61" i="3"/>
  <c r="R61" i="2"/>
  <c r="B11" i="11"/>
  <c r="F11" i="11" s="1"/>
  <c r="C11" i="11"/>
  <c r="D11" i="11"/>
  <c r="E11" i="11"/>
  <c r="H11" i="11"/>
  <c r="I11" i="11"/>
  <c r="B40" i="5"/>
  <c r="C40" i="5"/>
  <c r="D40" i="5"/>
  <c r="G40" i="5" s="1"/>
  <c r="E40" i="5"/>
  <c r="F40" i="5"/>
  <c r="H40" i="5"/>
  <c r="I40" i="5"/>
  <c r="B18" i="5"/>
  <c r="C18" i="5"/>
  <c r="F18" i="5" s="1"/>
  <c r="D18" i="5"/>
  <c r="G18" i="5" s="1"/>
  <c r="E18" i="5"/>
  <c r="H18" i="5"/>
  <c r="I18" i="5"/>
  <c r="B14" i="19"/>
  <c r="F14" i="19" s="1"/>
  <c r="C14" i="19"/>
  <c r="D14" i="19"/>
  <c r="E14" i="19"/>
  <c r="H14" i="19"/>
  <c r="I14" i="19"/>
  <c r="C30" i="18"/>
  <c r="D30" i="18"/>
  <c r="G30" i="18" s="1"/>
  <c r="E30" i="18"/>
  <c r="F30" i="18"/>
  <c r="H30" i="18" s="1"/>
  <c r="I30" i="18"/>
  <c r="J30" i="18"/>
  <c r="K30" i="18"/>
  <c r="L30" i="18"/>
  <c r="B28" i="17"/>
  <c r="C28" i="17"/>
  <c r="F28" i="17" s="1"/>
  <c r="D28" i="17"/>
  <c r="E28" i="17"/>
  <c r="H28" i="17"/>
  <c r="I28" i="17"/>
  <c r="B63" i="16"/>
  <c r="C63" i="16"/>
  <c r="D63" i="16"/>
  <c r="E63" i="16"/>
  <c r="H63" i="16"/>
  <c r="I63" i="16"/>
  <c r="G63" i="16" s="1"/>
  <c r="J63" i="16"/>
  <c r="K63" i="16"/>
  <c r="L63" i="16"/>
  <c r="M63" i="16"/>
  <c r="P63" i="16"/>
  <c r="Q63" i="16"/>
  <c r="J11" i="12"/>
  <c r="J12" i="12"/>
  <c r="J13" i="12"/>
  <c r="J14" i="12"/>
  <c r="J15" i="12"/>
  <c r="J16" i="12"/>
  <c r="J17" i="12"/>
  <c r="J18" i="12"/>
  <c r="K11" i="12"/>
  <c r="K12" i="12"/>
  <c r="K13" i="12"/>
  <c r="K14" i="12"/>
  <c r="K15" i="12"/>
  <c r="K16" i="12"/>
  <c r="K17" i="12"/>
  <c r="K18" i="12"/>
  <c r="D238" i="36"/>
  <c r="E238" i="36"/>
  <c r="F238" i="36"/>
  <c r="I238" i="36" s="1"/>
  <c r="G238" i="36"/>
  <c r="M238" i="36"/>
  <c r="D237" i="35"/>
  <c r="E237" i="35"/>
  <c r="F237" i="35"/>
  <c r="I237" i="35" s="1"/>
  <c r="G237" i="35"/>
  <c r="M237" i="35" s="1"/>
  <c r="D239" i="10"/>
  <c r="E239" i="10"/>
  <c r="F239" i="10"/>
  <c r="I239" i="10" s="1"/>
  <c r="G239" i="10"/>
  <c r="M239" i="10" s="1"/>
  <c r="B16" i="13"/>
  <c r="D9" i="13" s="1"/>
  <c r="C16" i="13"/>
  <c r="E8" i="13" s="1"/>
  <c r="F16" i="13"/>
  <c r="H9" i="13" s="1"/>
  <c r="G16" i="13"/>
  <c r="I10" i="13" s="1"/>
  <c r="D8" i="13"/>
  <c r="D10" i="13"/>
  <c r="D12" i="13"/>
  <c r="D14" i="13"/>
  <c r="E9" i="13"/>
  <c r="E10" i="13"/>
  <c r="E11" i="13"/>
  <c r="E12" i="13"/>
  <c r="E13" i="13"/>
  <c r="E14" i="13"/>
  <c r="E15" i="13"/>
  <c r="H12" i="13"/>
  <c r="H13" i="13"/>
  <c r="H14" i="13"/>
  <c r="H15" i="13"/>
  <c r="I8" i="13"/>
  <c r="I9" i="13"/>
  <c r="I13" i="13"/>
  <c r="I14" i="13"/>
  <c r="I15" i="13"/>
  <c r="J8" i="13"/>
  <c r="J9" i="13"/>
  <c r="J10" i="13"/>
  <c r="J11" i="13"/>
  <c r="J12" i="13"/>
  <c r="J13" i="13"/>
  <c r="J14" i="13"/>
  <c r="J15" i="13"/>
  <c r="C312" i="8"/>
  <c r="D312" i="8"/>
  <c r="L237" i="35" s="1"/>
  <c r="E312" i="8"/>
  <c r="F312" i="8"/>
  <c r="H312" i="8"/>
  <c r="I312" i="8"/>
  <c r="J312" i="8"/>
  <c r="K312" i="8"/>
  <c r="L312" i="8"/>
  <c r="L239" i="10" l="1"/>
  <c r="J238" i="36"/>
  <c r="G11" i="11"/>
  <c r="H237" i="35"/>
  <c r="J239" i="10"/>
  <c r="L238" i="36"/>
  <c r="F63" i="16"/>
  <c r="G312" i="8"/>
  <c r="I12" i="13"/>
  <c r="I11" i="13"/>
  <c r="H10" i="13"/>
  <c r="H8" i="13"/>
  <c r="O63" i="16"/>
  <c r="G14" i="19"/>
  <c r="N63" i="16"/>
  <c r="G28" i="17"/>
  <c r="H238" i="36"/>
  <c r="K238" i="36"/>
  <c r="J237" i="35"/>
  <c r="K237" i="35"/>
  <c r="H239" i="10"/>
  <c r="K239" i="10"/>
  <c r="H11" i="13"/>
  <c r="D15" i="13"/>
  <c r="D13" i="13"/>
  <c r="D11" i="13"/>
  <c r="S18" i="2"/>
  <c r="R18" i="2"/>
  <c r="Q18" i="36" l="1"/>
  <c r="P18" i="36"/>
  <c r="P18" i="35"/>
  <c r="Q19" i="35"/>
  <c r="Q18" i="35"/>
  <c r="G22" i="1" l="1"/>
  <c r="F22" i="1"/>
  <c r="G23" i="1"/>
  <c r="F23" i="1"/>
  <c r="H22" i="1" l="1"/>
  <c r="H23" i="1"/>
  <c r="H16" i="13" l="1"/>
  <c r="D16" i="13"/>
  <c r="E16" i="13"/>
  <c r="I16" i="13"/>
  <c r="S18" i="4" l="1"/>
  <c r="R18" i="4"/>
  <c r="R19" i="4"/>
  <c r="S18" i="3"/>
  <c r="R18" i="3"/>
  <c r="R19" i="3"/>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9" i="12" l="1"/>
  <c r="D11" i="12" l="1"/>
  <c r="D12" i="12"/>
  <c r="D14" i="12"/>
  <c r="D16" i="12"/>
  <c r="D18" i="12"/>
  <c r="D13" i="12"/>
  <c r="D15" i="12"/>
  <c r="D17" i="12"/>
  <c r="G19" i="12" l="1"/>
  <c r="F19" i="12"/>
  <c r="C19" i="12"/>
  <c r="D19" i="12"/>
  <c r="I17" i="12" l="1"/>
  <c r="I12" i="12"/>
  <c r="I14" i="12"/>
  <c r="I16" i="12"/>
  <c r="I18" i="12"/>
  <c r="I11" i="12"/>
  <c r="I13" i="12"/>
  <c r="I15" i="12"/>
  <c r="H12" i="12"/>
  <c r="H14" i="12"/>
  <c r="H16" i="12"/>
  <c r="H18" i="12"/>
  <c r="H11" i="12"/>
  <c r="H13" i="12"/>
  <c r="H15" i="12"/>
  <c r="H17" i="12"/>
  <c r="E12" i="12"/>
  <c r="E14" i="12"/>
  <c r="E16" i="12"/>
  <c r="E18" i="12"/>
  <c r="E11" i="12"/>
  <c r="E13" i="12"/>
  <c r="E15" i="12"/>
  <c r="E17" i="12"/>
  <c r="H19" i="12"/>
  <c r="J19" i="12"/>
  <c r="E19" i="12"/>
  <c r="I19" i="12"/>
  <c r="K19"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9" i="12"/>
  <c r="F9" i="12"/>
  <c r="C9" i="12"/>
  <c r="B9"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9" i="12"/>
  <c r="K9" i="12"/>
  <c r="E9" i="12"/>
  <c r="J9"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9" i="12"/>
  <c r="H9" i="12"/>
  <c r="H39" i="36"/>
  <c r="K38" i="35"/>
  <c r="J40" i="10"/>
  <c r="K40" i="10"/>
  <c r="G6" i="8"/>
  <c r="Q19" i="36" l="1"/>
  <c r="P19" i="36"/>
  <c r="R18" i="36"/>
  <c r="R18" i="35" l="1"/>
  <c r="G12" i="1" l="1"/>
  <c r="F12" i="1"/>
  <c r="G31" i="1"/>
  <c r="G30" i="1" s="1"/>
  <c r="F31" i="1"/>
  <c r="F30" i="1" s="1"/>
  <c r="G19" i="1"/>
  <c r="F19" i="1"/>
  <c r="F26" i="1"/>
  <c r="G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2000000}" keepAlive="1" name="bdsql12 Transportstyrelsen sumPrelNyregImportBUSS" type="5" refreshedVersion="4" savePassword="1" deleted="1" saveData="1">
    <dbPr connection="" command=""/>
  </connection>
  <connection id="17"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<sst xmlns="http://schemas.openxmlformats.org/spreadsheetml/2006/main" count="2779" uniqueCount="1189">
  <si>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</si>
  <si>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</si>
  <si>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</si>
  <si>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</si>
  <si>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</si>
  <si>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</si>
  <si>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</si>
  <si>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</si>
  <si>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</si>
  <si>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</si>
  <si>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</si>
  <si>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</si>
  <si>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</si>
  <si>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</si>
  <si>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</si>
  <si>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</si>
  <si>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</si>
  <si>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</si>
  <si>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</si>
  <si>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</si>
  <si>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</si>
  <si>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</si>
  <si>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</si>
  <si>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</si>
  <si>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</si>
  <si>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</si>
  <si>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</si>
  <si>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</si>
  <si>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</si>
  <si>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</si>
  <si>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</si>
  <si>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</si>
  <si>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</si>
  <si>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</si>
  <si>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</si>
  <si>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</si>
  <si>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</si>
  <si>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</si>
  <si>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</si>
  <si>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</si>
  <si>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</si>
  <si>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</si>
  <si>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</si>
  <si>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</si>
  <si>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</si>
  <si>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</si>
  <si>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</si>
  <si>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</si>
  <si>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</si>
  <si>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</si>
  <si>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</si>
  <si>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</si>
  <si>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</si>
  <si>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</si>
  <si>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</si>
  <si>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</si>
  <si>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</si>
  <si>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</si>
  <si>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</si>
  <si>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</si>
  <si>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</si>
  <si>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</si>
  <si>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</si>
  <si>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</si>
  <si>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</si>
  <si>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</si>
  <si>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</si>
  <si>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</si>
  <si>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</si>
  <si>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</si>
  <si>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</si>
  <si>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</si>
  <si>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</si>
  <si>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</si>
  <si>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</si>
  <si>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</si>
  <si>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</si>
  <si>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</si>
  <si>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</si>
  <si>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</si>
  <si>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</si>
  <si>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</si>
  <si>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</si>
  <si>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</si>
  <si>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</si>
  <si>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</si>
  <si>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</si>
  <si>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</si>
  <si>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</si>
  <si>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</si>
  <si>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</si>
  <si>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</si>
  <si>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</si>
  <si>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</si>
  <si>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</si>
  <si>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</si>
  <si>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</si>
  <si>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</si>
  <si>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</si>
  <si>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</si>
  <si>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</si>
  <si>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</si>
  <si>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</si>
  <si>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</si>
  <si>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</si>
  <si>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</si>
  <si>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</si>
  <si>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</si>
  <si>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</si>
  <si>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</si>
  <si>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</si>
  <si>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</si>
  <si>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</si>
  <si>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</si>
  <si>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</si>
  <si>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</si>
  <si>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</si>
  <si>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</si>
  <si>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</si>
  <si>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</si>
  <si>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</si>
  <si>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</si>
  <si>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MAZDA CX-30</t>
  </si>
  <si>
    <t>VW TOUAREG</t>
  </si>
  <si>
    <t>CITROEN C3</t>
  </si>
  <si>
    <t>NISSAN JUKE</t>
  </si>
  <si>
    <t xml:space="preserve">SUZUKI SWIFT            </t>
  </si>
  <si>
    <t>PEUGEOT 508</t>
  </si>
  <si>
    <t xml:space="preserve">OPEL CORSA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</si>
  <si>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</si>
  <si>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</si>
  <si>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</si>
  <si>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</si>
  <si>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</si>
  <si>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</si>
  <si>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</si>
  <si>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</si>
  <si>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</si>
  <si>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</si>
  <si>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</si>
  <si>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</si>
  <si>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</si>
  <si>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</si>
  <si>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</si>
  <si>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</si>
  <si>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</si>
  <si>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VW ARTEON</t>
  </si>
  <si>
    <t>FIAT 500X</t>
  </si>
  <si>
    <t>MAZDA2</t>
  </si>
  <si>
    <t>SUZUKI S-CROSS</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</si>
  <si>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</si>
  <si>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</si>
  <si>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</si>
  <si>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</si>
  <si>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</si>
  <si>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</si>
  <si>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</si>
  <si>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</si>
  <si>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</si>
  <si>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</si>
  <si>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</si>
  <si>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</si>
  <si>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</si>
  <si>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</si>
  <si>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</si>
  <si>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</si>
  <si>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</si>
  <si>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</si>
  <si>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</si>
  <si>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HONDA JAZZ              </t>
  </si>
  <si>
    <t>BMW X2</t>
  </si>
  <si>
    <t xml:space="preserve">LR / RANGE ROVER        </t>
  </si>
  <si>
    <t>PEUGEOT RIFTER</t>
  </si>
  <si>
    <t xml:space="preserve">CITROEN BERLINGO        </t>
  </si>
  <si>
    <t>FORD S-MAX</t>
  </si>
  <si>
    <t>VW KOMBI</t>
  </si>
  <si>
    <t>PORSCHE 718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</si>
  <si>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</si>
  <si>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</si>
  <si>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</si>
  <si>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</si>
  <si>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</si>
  <si>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</si>
  <si>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</si>
  <si>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</si>
  <si>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</si>
  <si>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</si>
  <si>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</si>
  <si>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</si>
  <si>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</si>
  <si>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</si>
  <si>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</si>
  <si>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</si>
  <si>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</si>
  <si>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</si>
  <si>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</si>
  <si>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</si>
  <si>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</si>
  <si>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</si>
  <si>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</si>
  <si>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</si>
  <si>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</si>
  <si>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</si>
  <si>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</si>
  <si>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</si>
  <si>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TOYOTA SUPRA</t>
  </si>
  <si>
    <t xml:space="preserve">LAMBORGHINI             </t>
  </si>
  <si>
    <t>BENTLEY CONTINENTAL</t>
  </si>
  <si>
    <t>VW CRAFTER</t>
  </si>
  <si>
    <t>Nyregistrerade personbilar per drivmedel</t>
  </si>
  <si>
    <t>KIA CEED</t>
  </si>
  <si>
    <t>modben</t>
  </si>
  <si>
    <t>miljoklass</t>
  </si>
  <si>
    <t>KIA NIRO PLUG-IN HYBRID</t>
  </si>
  <si>
    <t>VW PASSAT GTE</t>
  </si>
  <si>
    <t>KIA NIRO EV</t>
  </si>
  <si>
    <t>BMW I3 (BEV)</t>
  </si>
  <si>
    <t>VOLVO XC90II LADDHYBRID</t>
  </si>
  <si>
    <t>BMW 225XE ACTIVE TOURER</t>
  </si>
  <si>
    <t>PORSCHE PANAMERA 4 E-HYB</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</si>
  <si>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</si>
  <si>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</si>
  <si>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</si>
  <si>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</si>
  <si>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</si>
  <si>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</si>
  <si>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</si>
  <si>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</si>
  <si>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</si>
  <si>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</si>
  <si>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</si>
  <si>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</si>
  <si>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</si>
  <si>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</si>
  <si>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</si>
  <si>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</si>
  <si>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</si>
  <si>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</si>
  <si>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</si>
  <si>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</si>
  <si>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</si>
  <si>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</si>
  <si>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</si>
  <si>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</si>
  <si>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</si>
  <si>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</si>
  <si>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</si>
  <si>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</si>
  <si>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</si>
  <si>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</si>
  <si>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</si>
  <si>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</si>
  <si>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</si>
  <si>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</si>
  <si>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Kia</t>
  </si>
  <si>
    <t>Lamborghini</t>
  </si>
  <si>
    <t>Land Rover</t>
  </si>
  <si>
    <t>Lexus</t>
  </si>
  <si>
    <t>MAN</t>
  </si>
  <si>
    <t>Mazda</t>
  </si>
  <si>
    <t>Mercedes AMG</t>
  </si>
  <si>
    <t>Mini</t>
  </si>
  <si>
    <t>Mitsubishi</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</si>
  <si>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</si>
  <si>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</si>
  <si>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</si>
  <si>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</si>
  <si>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</si>
  <si>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</si>
  <si>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</si>
  <si>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</si>
  <si>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</si>
  <si>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</si>
  <si>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</si>
  <si>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</si>
  <si>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</si>
  <si>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</si>
  <si>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</si>
  <si>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</si>
  <si>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</si>
  <si>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</si>
  <si>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</si>
  <si>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</si>
  <si>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</si>
  <si>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</si>
  <si>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</si>
  <si>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</si>
  <si>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</si>
  <si>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</si>
  <si>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</si>
  <si>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</si>
  <si>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</si>
  <si>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</si>
  <si>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</si>
  <si>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</si>
  <si>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</si>
  <si>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</si>
  <si>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</si>
  <si>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</si>
  <si>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</si>
  <si>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</si>
  <si>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</si>
  <si>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</si>
  <si>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</si>
  <si>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</si>
  <si>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</si>
  <si>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</si>
  <si>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</si>
  <si>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</si>
  <si>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</si>
  <si>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</si>
  <si>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</si>
  <si>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</si>
  <si>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</si>
  <si>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</si>
  <si>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</si>
  <si>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</si>
  <si>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</si>
  <si>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</si>
  <si>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</si>
  <si>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</si>
  <si>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</si>
  <si>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</si>
  <si>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</si>
  <si>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</si>
  <si>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</si>
  <si>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</si>
  <si>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</si>
  <si>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</si>
  <si>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</si>
  <si>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</si>
  <si>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</si>
  <si>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</si>
  <si>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</si>
  <si>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</si>
  <si>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</si>
  <si>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</si>
  <si>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</si>
  <si>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</si>
  <si>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</si>
  <si>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</si>
  <si>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</si>
  <si>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</si>
  <si>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</si>
  <si>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</si>
  <si>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</si>
  <si>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</si>
  <si>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</si>
  <si>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</si>
  <si>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</si>
  <si>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</si>
  <si>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</si>
  <si>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</si>
  <si>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</si>
  <si>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</si>
  <si>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</si>
  <si>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</si>
  <si>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</si>
  <si>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</si>
  <si>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</si>
  <si>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MERCEDES-BENZ GLA</t>
  </si>
  <si>
    <t>Sum of calcChangePerioden</t>
  </si>
  <si>
    <t>Sum of calcChangeAret</t>
  </si>
  <si>
    <t>VOLVO ÖVRIGA</t>
  </si>
  <si>
    <t>HONDA E</t>
  </si>
  <si>
    <t xml:space="preserve">LAND ROVER DEFENDER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</si>
  <si>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</si>
  <si>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</si>
  <si>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</si>
  <si>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</si>
  <si>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</si>
  <si>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</si>
  <si>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</si>
  <si>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</si>
  <si>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</si>
  <si>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</si>
  <si>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</si>
  <si>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</si>
  <si>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</si>
  <si>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</si>
  <si>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</si>
  <si>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</si>
  <si>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</si>
  <si>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</si>
  <si>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</si>
  <si>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</si>
  <si>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</si>
  <si>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</si>
  <si>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</si>
  <si>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</si>
  <si>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</si>
  <si>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</si>
  <si>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</si>
  <si>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</si>
  <si>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RANGE ROVER EVOQUE</t>
  </si>
  <si>
    <t>SEAT CUPRA FORMENTOR</t>
  </si>
  <si>
    <t>PORSCHE PANAMERA 4S</t>
  </si>
  <si>
    <t>VOLVO XC40 PURE ELECTRIC</t>
  </si>
  <si>
    <t>TOYOTA RAV4 5-D</t>
  </si>
  <si>
    <t>CITROEN JUMPY</t>
  </si>
  <si>
    <t>MAXUS EUNIQ</t>
  </si>
  <si>
    <t>BMW X2 SDRIVE25E</t>
  </si>
  <si>
    <t>BMW 545E XDRIVE</t>
  </si>
  <si>
    <t>VOLVO ÖVRIGA LADDHYBRID</t>
  </si>
  <si>
    <t>RENAULT CAPTUR E-TECH</t>
  </si>
  <si>
    <t>SKODA OCTAVIA IV PHEV</t>
  </si>
  <si>
    <t>FIAT 500 EL</t>
  </si>
  <si>
    <t>SUZUKI ACROSS</t>
  </si>
  <si>
    <t>ÖVRIGA FABRIKAT EL</t>
  </si>
  <si>
    <t>MERCEDES-BENZ EVITO</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</si>
  <si>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</si>
  <si>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</si>
  <si>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</si>
  <si>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</si>
  <si>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</si>
  <si>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</si>
  <si>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</si>
  <si>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</si>
  <si>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</si>
  <si>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</si>
  <si>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</si>
  <si>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</si>
  <si>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</si>
  <si>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</si>
  <si>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</si>
  <si>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</si>
  <si>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</si>
  <si>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</si>
  <si>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</si>
  <si>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</si>
  <si>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</si>
  <si>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</si>
  <si>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</si>
  <si>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</si>
  <si>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</si>
  <si>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</si>
  <si>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</si>
  <si>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</si>
  <si>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</si>
  <si>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</si>
  <si>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</si>
  <si>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</si>
  <si>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</si>
  <si>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</si>
  <si>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</si>
  <si>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</si>
  <si>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</si>
  <si>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</si>
  <si>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VW ID.4</t>
  </si>
  <si>
    <t xml:space="preserve">MITSUBISHI SPACE STAR   </t>
  </si>
  <si>
    <t>CITROEN C4</t>
  </si>
  <si>
    <t>MAZDA MX-30</t>
  </si>
  <si>
    <t>MAZDA6</t>
  </si>
  <si>
    <t>MCLAREN</t>
  </si>
  <si>
    <t>TOYOTA MIRAI</t>
  </si>
  <si>
    <t>AUDI A6 TFSI E</t>
  </si>
  <si>
    <t>KIA SORENTO PHEV</t>
  </si>
  <si>
    <t>AUDI Q7 TFSI E</t>
  </si>
  <si>
    <t>AUDI Q8 TFSI E</t>
  </si>
  <si>
    <t>AUDI A3 TFSI E</t>
  </si>
  <si>
    <t>AUDI A7 TFSI E</t>
  </si>
  <si>
    <t>BMW IX3</t>
  </si>
  <si>
    <t>MERCEDES- V-KLASS</t>
  </si>
  <si>
    <t>AUDI Q3 TFSI E</t>
  </si>
  <si>
    <t>LR RANGE ROVER VELAR</t>
  </si>
  <si>
    <t>DS 3 EL</t>
  </si>
  <si>
    <t>McLaren</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</si>
  <si>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</si>
  <si>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</si>
  <si>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</si>
  <si>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</si>
  <si>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</si>
  <si>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</si>
  <si>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</si>
  <si>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</si>
  <si>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</si>
  <si>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</si>
  <si>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</si>
  <si>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</si>
  <si>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</si>
  <si>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</si>
  <si>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</si>
  <si>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</si>
  <si>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</si>
  <si>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</si>
  <si>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</si>
  <si>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</si>
  <si>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</si>
  <si>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</si>
  <si>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</si>
  <si>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</si>
  <si>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</si>
  <si>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</si>
  <si>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</si>
  <si>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</si>
  <si>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</si>
  <si>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</si>
  <si>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</si>
  <si>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</si>
  <si>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</si>
  <si>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</si>
  <si>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</si>
  <si>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</si>
  <si>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</si>
  <si>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</si>
  <si>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</si>
  <si>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</si>
  <si>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</si>
  <si>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</si>
  <si>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</si>
  <si>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</si>
  <si>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</si>
  <si>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</si>
  <si>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</si>
  <si>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</si>
  <si>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</si>
  <si>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Alpine</t>
  </si>
  <si>
    <t>AUDI E-TRON GT</t>
  </si>
  <si>
    <t>SUZUKI SWACE</t>
  </si>
  <si>
    <t>MERCEDES EQA (243)</t>
  </si>
  <si>
    <t>CITROEN E-C4</t>
  </si>
  <si>
    <t>Generalagent / Fabrikat</t>
  </si>
  <si>
    <t>I bokstavsordning.</t>
  </si>
  <si>
    <t>Nyregistreringar bussar   (samtliga)</t>
  </si>
  <si>
    <t>Nyregistreringar bussar   (över 10 ton)</t>
  </si>
  <si>
    <t>Nyregistreringar eldrivna bussar per fabrikat</t>
  </si>
  <si>
    <t>SKODA ENYAQ</t>
  </si>
  <si>
    <t>OPEL MOKKA</t>
  </si>
  <si>
    <t>LYNK &amp; CO 01</t>
  </si>
  <si>
    <t>OPEL MOKKA EL</t>
  </si>
  <si>
    <t>LYNK &amp; CO. 01</t>
  </si>
  <si>
    <t>PEUGEOT EXPERT EL</t>
  </si>
  <si>
    <t>Lynk &amp; Co</t>
  </si>
  <si>
    <t>TM Sweden</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</si>
  <si>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</si>
  <si>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</si>
  <si>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</si>
  <si>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</si>
  <si>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</si>
  <si>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</si>
  <si>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</si>
  <si>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</si>
  <si>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</si>
  <si>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</si>
  <si>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</si>
  <si>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</si>
  <si>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</si>
  <si>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FORD MUSTANG MACH-E</t>
  </si>
  <si>
    <t>AUDI Q4 E-TRON</t>
  </si>
  <si>
    <t>HYUNDAI SANTA FE</t>
  </si>
  <si>
    <t>LANDROVER DEFENDER</t>
  </si>
  <si>
    <t>HYUNDAI IONIQ 5</t>
  </si>
  <si>
    <t>RENAULT ARKANA</t>
  </si>
  <si>
    <t>TESLA MODEL Y</t>
  </si>
  <si>
    <t>Hedin MG Sweden</t>
  </si>
  <si>
    <t>HYUNDAI BAYON</t>
  </si>
  <si>
    <t>MERCEDES EQC</t>
  </si>
  <si>
    <t>MERCEDES EQA</t>
  </si>
  <si>
    <t>MERCEDES EQS</t>
  </si>
  <si>
    <t>BMW IX</t>
  </si>
  <si>
    <t>MERCEDES S-KLASS (223)</t>
  </si>
  <si>
    <t>OPEL ZAFIRA EL</t>
  </si>
  <si>
    <t>BMW IX XDRIVE40</t>
  </si>
  <si>
    <t>Antal nyregistrerade elbilar (PB) per månad</t>
  </si>
  <si>
    <t>Elbilar</t>
  </si>
  <si>
    <t>Laddhybrider</t>
  </si>
  <si>
    <t>Antal nyregistrerade laddhybrider (PB) per månad</t>
  </si>
  <si>
    <t>A.51 Elbilar PB</t>
  </si>
  <si>
    <t>A.52 Laddhybrider PB</t>
  </si>
  <si>
    <t>PEUGEOT EXPERT ELECTRIC</t>
  </si>
  <si>
    <t>TOYOTA, PROACE ELECTR 75</t>
  </si>
  <si>
    <t>MERCEDES-BENZ ESPRINTER</t>
  </si>
  <si>
    <t>OPEL VIVARO</t>
  </si>
  <si>
    <t>RENAULT MASTER Z.E.</t>
  </si>
  <si>
    <t>MERCEDES GLS</t>
  </si>
  <si>
    <t>TOYOTA YARIS CROSS</t>
  </si>
  <si>
    <t>KIA EV6</t>
  </si>
  <si>
    <t>MITSUBISHI ECLIPSE CROSS</t>
  </si>
  <si>
    <t>KW Bruun MMC</t>
  </si>
  <si>
    <t>VOLVO C40</t>
  </si>
  <si>
    <t>MG MARVEL R</t>
  </si>
  <si>
    <t>SEAT CUPRA BORN</t>
  </si>
  <si>
    <t>LEXUS RX</t>
  </si>
  <si>
    <t>VOLVO C40 PURE ELECTRIC</t>
  </si>
  <si>
    <t>MG MARVEL R ELECTRIC</t>
  </si>
  <si>
    <t>CUPRA BORN</t>
  </si>
  <si>
    <t>BMW IX XDRIVE50</t>
  </si>
  <si>
    <t>VW TAIGO</t>
  </si>
  <si>
    <t>BMW I4</t>
  </si>
  <si>
    <t>MERCEDES C-KLASS (206)</t>
  </si>
  <si>
    <t>BMW I4 M50</t>
  </si>
  <si>
    <t>PEUGEOT 308 BEN/EL</t>
  </si>
  <si>
    <t>CITROEN BERLINGO EL</t>
  </si>
  <si>
    <t>PEUGEOT E-PARTNER</t>
  </si>
  <si>
    <t>MERCEDES EQB</t>
  </si>
  <si>
    <t>LEXUS NX</t>
  </si>
  <si>
    <t>LEXUS NX450</t>
  </si>
  <si>
    <t>MAXUS EUNIQ 6</t>
  </si>
  <si>
    <t>MAXUS E-DELIVER 3 SWB 52</t>
  </si>
  <si>
    <t>OPEL COMBO-E CARGO</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</si>
  <si>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</si>
  <si>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</si>
  <si>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</si>
  <si>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</si>
  <si>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</si>
  <si>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</si>
  <si>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</si>
  <si>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</si>
  <si>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</si>
  <si>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</si>
  <si>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</si>
  <si>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</si>
  <si>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</si>
  <si>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</si>
  <si>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</si>
  <si>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</si>
  <si>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</si>
  <si>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</si>
  <si>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</si>
  <si>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</si>
  <si>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</si>
  <si>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</si>
  <si>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</si>
  <si>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</si>
  <si>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</si>
  <si>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</si>
  <si>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</si>
  <si>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</si>
  <si>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</si>
  <si>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</si>
  <si>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</si>
  <si>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</si>
  <si>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</si>
  <si>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</si>
  <si>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</si>
  <si>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</si>
  <si>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</si>
  <si>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</si>
  <si>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</si>
  <si>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</si>
  <si>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</si>
  <si>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</si>
  <si>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</si>
  <si>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</si>
  <si>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</si>
  <si>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</si>
  <si>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</si>
  <si>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</si>
  <si>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</si>
  <si>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</si>
  <si>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</si>
  <si>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</si>
  <si>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</si>
  <si>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</si>
  <si>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</si>
  <si>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</si>
  <si>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</si>
  <si>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</si>
  <si>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</si>
  <si>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</si>
  <si>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</si>
  <si>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</si>
  <si>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</si>
  <si>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</si>
  <si>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</si>
  <si>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</si>
  <si>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</si>
  <si>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</si>
  <si>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</si>
  <si>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</si>
  <si>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</si>
  <si>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</si>
  <si>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</si>
  <si>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</si>
  <si>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</si>
  <si>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</si>
  <si>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</si>
  <si>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</si>
  <si>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</si>
  <si>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</si>
  <si>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VW</t>
  </si>
  <si>
    <t>Id.4</t>
  </si>
  <si>
    <t>Passat</t>
  </si>
  <si>
    <t>T-roc</t>
  </si>
  <si>
    <t>Tiguan</t>
  </si>
  <si>
    <t>Golf</t>
  </si>
  <si>
    <t>T-cross</t>
  </si>
  <si>
    <t>Taigo</t>
  </si>
  <si>
    <t>Id.3</t>
  </si>
  <si>
    <t>Arteon</t>
  </si>
  <si>
    <t>Multivan</t>
  </si>
  <si>
    <t>Id.5</t>
  </si>
  <si>
    <t>Touareg</t>
  </si>
  <si>
    <t>Caddy</t>
  </si>
  <si>
    <t>Caravelle</t>
  </si>
  <si>
    <t>Touran</t>
  </si>
  <si>
    <t>Kombi</t>
  </si>
  <si>
    <t>Crafter</t>
  </si>
  <si>
    <t>Rav 4</t>
  </si>
  <si>
    <t>Corolla</t>
  </si>
  <si>
    <t>Yaris</t>
  </si>
  <si>
    <t>C-hr</t>
  </si>
  <si>
    <t>Yaris cross</t>
  </si>
  <si>
    <t>Aygo x</t>
  </si>
  <si>
    <t>Proace verso</t>
  </si>
  <si>
    <t>Camry</t>
  </si>
  <si>
    <t>Landcruiser</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</si>
  <si>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</si>
  <si>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</si>
  <si>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</si>
  <si>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</si>
  <si>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</si>
  <si>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</si>
  <si>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</si>
  <si>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</si>
  <si>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</si>
  <si>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</si>
  <si>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</si>
  <si>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</si>
  <si>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</si>
  <si>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</si>
  <si>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</si>
  <si>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</si>
  <si>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</si>
  <si>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</si>
  <si>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</si>
  <si>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</si>
  <si>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</si>
  <si>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</si>
  <si>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</si>
  <si>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</si>
  <si>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</si>
  <si>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</si>
  <si>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</si>
  <si>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</si>
  <si>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</si>
  <si>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</si>
  <si>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</si>
  <si>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</si>
  <si>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</si>
  <si>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</si>
  <si>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</si>
  <si>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</si>
  <si>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</si>
  <si>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</si>
  <si>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</si>
  <si>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</si>
  <si>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</si>
  <si>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</si>
  <si>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</si>
  <si>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</si>
  <si>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</si>
  <si>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</si>
  <si>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</si>
  <si>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</si>
  <si>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</si>
  <si>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</si>
  <si>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</si>
  <si>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</si>
  <si>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</si>
  <si>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</si>
  <si>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</si>
  <si>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</si>
  <si>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</si>
  <si>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</si>
  <si>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</si>
  <si>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</si>
  <si>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</si>
  <si>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</si>
  <si>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R8</t>
  </si>
  <si>
    <t>S5</t>
  </si>
  <si>
    <t>Enyaq</t>
  </si>
  <si>
    <t>Octavia</t>
  </si>
  <si>
    <t>Kodiaq</t>
  </si>
  <si>
    <t>Superb</t>
  </si>
  <si>
    <t>Kamiq</t>
  </si>
  <si>
    <t>Karoq</t>
  </si>
  <si>
    <t>Scala</t>
  </si>
  <si>
    <t>Fabia</t>
  </si>
  <si>
    <t>Model y</t>
  </si>
  <si>
    <t>Model 3</t>
  </si>
  <si>
    <t>Model x</t>
  </si>
  <si>
    <t>Kuga</t>
  </si>
  <si>
    <t>Focus</t>
  </si>
  <si>
    <t>Mustang mach-e</t>
  </si>
  <si>
    <t>Transit</t>
  </si>
  <si>
    <t>Puma</t>
  </si>
  <si>
    <t>Tourneo custom</t>
  </si>
  <si>
    <t>Explorer</t>
  </si>
  <si>
    <t>Fiesta</t>
  </si>
  <si>
    <t>S-max</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</si>
  <si>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</si>
  <si>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</si>
  <si>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</si>
  <si>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</si>
  <si>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</si>
  <si>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</si>
  <si>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</si>
  <si>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</si>
  <si>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</si>
  <si>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</si>
  <si>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</si>
  <si>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</si>
  <si>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</si>
  <si>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</si>
  <si>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</si>
  <si>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</si>
  <si>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</si>
  <si>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</si>
  <si>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</si>
  <si>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</si>
  <si>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</si>
  <si>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</si>
  <si>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</si>
  <si>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</si>
  <si>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</si>
  <si>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</si>
  <si>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</si>
  <si>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</si>
  <si>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</si>
  <si>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</si>
  <si>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</si>
  <si>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</si>
  <si>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</si>
  <si>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</si>
  <si>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</si>
  <si>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</si>
  <si>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</si>
  <si>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</si>
  <si>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</si>
  <si>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</si>
  <si>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</si>
  <si>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</si>
  <si>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</si>
  <si>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</si>
  <si>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Berlingo</t>
  </si>
  <si>
    <t>Mokka</t>
  </si>
  <si>
    <t>Corsa</t>
  </si>
  <si>
    <t>Grandland x</t>
  </si>
  <si>
    <t>Astra</t>
  </si>
  <si>
    <t>Zafira</t>
  </si>
  <si>
    <t>Ducato</t>
  </si>
  <si>
    <t>500x</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</si>
  <si>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</si>
  <si>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</si>
  <si>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</si>
  <si>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</si>
  <si>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</si>
  <si>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</si>
  <si>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</si>
  <si>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</si>
  <si>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</si>
  <si>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</si>
  <si>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</si>
  <si>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</si>
  <si>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</si>
  <si>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</si>
  <si>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</si>
  <si>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</si>
  <si>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</si>
  <si>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</si>
  <si>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</si>
  <si>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</si>
  <si>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</si>
  <si>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</si>
  <si>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</si>
  <si>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</si>
  <si>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</si>
  <si>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</si>
  <si>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</si>
  <si>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</si>
  <si>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Hr-v</t>
  </si>
  <si>
    <t>Jazz</t>
  </si>
  <si>
    <t>Cr-v</t>
  </si>
  <si>
    <t>E</t>
  </si>
  <si>
    <t>Civic</t>
  </si>
  <si>
    <t>NX</t>
  </si>
  <si>
    <t>RX</t>
  </si>
  <si>
    <t>Eclipse</t>
  </si>
  <si>
    <t>Space star</t>
  </si>
  <si>
    <t>Defender</t>
  </si>
  <si>
    <t>Evoque</t>
  </si>
  <si>
    <t>Velar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</si>
  <si>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</si>
  <si>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</si>
  <si>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</si>
  <si>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</si>
  <si>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</si>
  <si>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</si>
  <si>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</si>
  <si>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</si>
  <si>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</si>
  <si>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</si>
  <si>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</si>
  <si>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</si>
  <si>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</si>
  <si>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</si>
  <si>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</si>
  <si>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</si>
  <si>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</si>
  <si>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</si>
  <si>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</si>
  <si>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</si>
  <si>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</si>
  <si>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</si>
  <si>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</si>
  <si>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</si>
  <si>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</si>
  <si>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</si>
  <si>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</si>
  <si>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</si>
  <si>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</si>
  <si>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</si>
  <si>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</si>
  <si>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</si>
  <si>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</si>
  <si>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</si>
  <si>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</si>
  <si>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</si>
  <si>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</si>
  <si>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</si>
  <si>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</si>
  <si>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</si>
  <si>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</si>
  <si>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</si>
  <si>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</si>
  <si>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</si>
  <si>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</si>
  <si>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</si>
  <si>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</si>
  <si>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</si>
  <si>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</si>
  <si>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</si>
  <si>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</si>
  <si>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</si>
  <si>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</si>
  <si>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</si>
  <si>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</si>
  <si>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</si>
  <si>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</si>
  <si>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</si>
  <si>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</si>
  <si>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</si>
  <si>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</si>
  <si>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</si>
  <si>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</si>
  <si>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</si>
  <si>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</si>
  <si>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</si>
  <si>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</si>
  <si>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</si>
  <si>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</si>
  <si>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</si>
  <si>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</si>
  <si>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</si>
  <si>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</si>
  <si>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</si>
  <si>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</si>
  <si>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</si>
  <si>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</si>
  <si>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</si>
  <si>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</si>
  <si>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</si>
  <si>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Dec-22</t>
  </si>
  <si>
    <t>Model s</t>
  </si>
  <si>
    <t>Kangoo</t>
  </si>
  <si>
    <t>Ora</t>
  </si>
  <si>
    <t>Funky cat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</si>
  <si>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</si>
  <si>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</si>
  <si>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</si>
  <si>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</si>
  <si>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</si>
  <si>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</si>
  <si>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</si>
  <si>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</si>
  <si>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</si>
  <si>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</si>
  <si>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</si>
  <si>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</si>
  <si>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</si>
  <si>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</si>
  <si>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CUPRA</t>
  </si>
  <si>
    <t>Nio</t>
  </si>
  <si>
    <t>MAXUS ET90 DOUBLE CAB</t>
  </si>
  <si>
    <t>Nio Nextev Sweden</t>
  </si>
  <si>
    <t>YTD  2023</t>
  </si>
  <si>
    <t>Jan-23</t>
  </si>
  <si>
    <t>Cupra</t>
  </si>
  <si>
    <t>Born</t>
  </si>
  <si>
    <t>Formentor</t>
  </si>
  <si>
    <t>HAN</t>
  </si>
  <si>
    <t>ET7</t>
  </si>
  <si>
    <t>NIO EL7</t>
  </si>
  <si>
    <t>ALFA ROMEO TONALE</t>
  </si>
  <si>
    <t>HONGQI E-HS9</t>
  </si>
  <si>
    <t>NISSAN PRIMASTAR</t>
  </si>
  <si>
    <t>BMW 7-SERIE</t>
  </si>
  <si>
    <t>LEXUS RX 450H</t>
  </si>
  <si>
    <t>PEUGEOT E-RIFTER</t>
  </si>
  <si>
    <t>SKODA ENYAQ COUPÉ</t>
  </si>
  <si>
    <t>CUPRA FORMENTOR VZ</t>
  </si>
  <si>
    <t>LEVC</t>
  </si>
  <si>
    <t>Feb-23</t>
  </si>
  <si>
    <t>7-serie</t>
  </si>
  <si>
    <t>Primastar</t>
  </si>
  <si>
    <t>Tonale</t>
  </si>
  <si>
    <t>EL7</t>
  </si>
  <si>
    <t>E-hs9</t>
  </si>
  <si>
    <t>Klintberg &amp; Way</t>
  </si>
  <si>
    <t>Dodge &amp; RAM</t>
  </si>
  <si>
    <t>TOYOTA BZ4X</t>
  </si>
  <si>
    <t>NIO ET5</t>
  </si>
  <si>
    <t>MITSUBISHI ASX</t>
  </si>
  <si>
    <t>IONIQ 6</t>
  </si>
  <si>
    <t>RAM</t>
  </si>
  <si>
    <t>Mar-23</t>
  </si>
  <si>
    <t>Bz4x</t>
  </si>
  <si>
    <t>ASX</t>
  </si>
  <si>
    <t>ET5</t>
  </si>
  <si>
    <t>BMW XM</t>
  </si>
  <si>
    <t>JAGUAR XF</t>
  </si>
  <si>
    <t>LEXUS RZ450E</t>
  </si>
  <si>
    <t>CUPRA LEON VZ</t>
  </si>
  <si>
    <t>BMW M760LI XDRIVE</t>
  </si>
  <si>
    <t>Xpeng</t>
  </si>
  <si>
    <t>XPENG MOTORS</t>
  </si>
  <si>
    <t>Apr-23</t>
  </si>
  <si>
    <t>6(7)</t>
  </si>
  <si>
    <t>7(5)</t>
  </si>
  <si>
    <t>XM</t>
  </si>
  <si>
    <t>RZ</t>
  </si>
  <si>
    <t>XF</t>
  </si>
  <si>
    <t>LEXUS ES</t>
  </si>
  <si>
    <t>RENAULT AUSTRAL</t>
  </si>
  <si>
    <t>LEXUS RZ</t>
  </si>
  <si>
    <t>LEXUS LC</t>
  </si>
  <si>
    <t>LEXUS RC</t>
  </si>
  <si>
    <t>LEXUS LS</t>
  </si>
  <si>
    <t>Ospec.</t>
  </si>
  <si>
    <t>MERCEDES EQE (294)</t>
  </si>
  <si>
    <t>BYD ETP3</t>
  </si>
  <si>
    <t>Maj-23</t>
  </si>
  <si>
    <t>Austral</t>
  </si>
  <si>
    <t>ES</t>
  </si>
  <si>
    <t>LC</t>
  </si>
  <si>
    <t>RC</t>
  </si>
  <si>
    <t>LS</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</si>
  <si>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</si>
  <si>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</si>
  <si>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</si>
  <si>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</si>
  <si>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</si>
  <si>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</si>
  <si>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</si>
  <si>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</si>
  <si>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</si>
  <si>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</si>
  <si>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</si>
  <si>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</si>
  <si>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</si>
  <si>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GEELY</t>
  </si>
  <si>
    <t>Jun-23</t>
  </si>
  <si>
    <t>Zr-v</t>
  </si>
  <si>
    <t>Grenadier</t>
  </si>
  <si>
    <t>CR-V RS8</t>
  </si>
  <si>
    <t>RENAULT KANGOO E-TECH EL</t>
  </si>
  <si>
    <t>MERCEDES-BENZ CITAN</t>
  </si>
  <si>
    <t>Jul-23</t>
  </si>
  <si>
    <t>HYUNDAI IONIQ 6</t>
  </si>
  <si>
    <t>HONDA E:NY1</t>
  </si>
  <si>
    <t xml:space="preserve">RENAULT ESPACE          </t>
  </si>
  <si>
    <t>E:NY1 RS1</t>
  </si>
  <si>
    <t>SsangYong</t>
  </si>
  <si>
    <t>Aug-23</t>
  </si>
  <si>
    <t>9(8)</t>
  </si>
  <si>
    <t>Ioniq 6</t>
  </si>
  <si>
    <t>Espace</t>
  </si>
  <si>
    <t>E:ny1</t>
  </si>
  <si>
    <t>XPENG G9</t>
  </si>
  <si>
    <t>BMW I5</t>
  </si>
  <si>
    <t>BMW I5 M60 XDRIVE</t>
  </si>
  <si>
    <t>MERCEDES E-KLASS (214)</t>
  </si>
  <si>
    <t>Sep-23</t>
  </si>
  <si>
    <t>3(3)</t>
  </si>
  <si>
    <t>I5</t>
  </si>
  <si>
    <t>G9</t>
  </si>
  <si>
    <t>KIA EV9</t>
  </si>
  <si>
    <t>LOTUS ELETRE</t>
  </si>
  <si>
    <t>MERCEDES CLE</t>
  </si>
  <si>
    <t>NIO EL6</t>
  </si>
  <si>
    <t>BYD DOLPHIN</t>
  </si>
  <si>
    <t>SUBARU CROSSTREK</t>
  </si>
  <si>
    <t>MG HS</t>
  </si>
  <si>
    <t>LEXUS LM</t>
  </si>
  <si>
    <t>SSANGYONG REXTON</t>
  </si>
  <si>
    <t>PORSCHE CAYENNE E-HYBRID</t>
  </si>
  <si>
    <t>BMW I5 EDRIVE40</t>
  </si>
  <si>
    <t>Lotus</t>
  </si>
  <si>
    <t>General Motors Sweden</t>
  </si>
  <si>
    <t>KIA Sweden</t>
  </si>
  <si>
    <t>Lotus Cars Sweden</t>
  </si>
  <si>
    <t>Okt-23</t>
  </si>
  <si>
    <t>EV9</t>
  </si>
  <si>
    <t>CLE</t>
  </si>
  <si>
    <t>HS</t>
  </si>
  <si>
    <t>Dolphin</t>
  </si>
  <si>
    <t>Crosstrek</t>
  </si>
  <si>
    <t>LM</t>
  </si>
  <si>
    <t>EL6</t>
  </si>
  <si>
    <t>Eletre</t>
  </si>
  <si>
    <t>Ssangyong</t>
  </si>
  <si>
    <t>Rexton</t>
  </si>
  <si>
    <t>Hedin Mobility Group avser följande företag/fabrikat:</t>
  </si>
  <si>
    <t>Hedin Electric Mobility</t>
  </si>
  <si>
    <t>VW ID.7</t>
  </si>
  <si>
    <t>SKODA OCTAVIA MHEV</t>
  </si>
  <si>
    <t>BMW 550E XDRIVE</t>
  </si>
  <si>
    <t>Nov-23</t>
  </si>
  <si>
    <t>Id.7</t>
  </si>
  <si>
    <t>VOLVO EX30</t>
  </si>
  <si>
    <t>BYD SEAL</t>
  </si>
  <si>
    <t>EX30 PURE ELECTRIC</t>
  </si>
  <si>
    <t>Dec-23</t>
  </si>
  <si>
    <t>EX30</t>
  </si>
  <si>
    <t>14(15)</t>
  </si>
  <si>
    <t>Seal</t>
  </si>
  <si>
    <t>53(45)</t>
  </si>
  <si>
    <t>Januari</t>
  </si>
  <si>
    <t>Januari - januari</t>
  </si>
  <si>
    <t xml:space="preserve"> 2024-01</t>
  </si>
  <si>
    <t xml:space="preserve"> 2023-01</t>
  </si>
  <si>
    <t>YTD  2024</t>
  </si>
  <si>
    <t>Jan - jan 2023</t>
  </si>
  <si>
    <t>Jan - jan 2024</t>
  </si>
  <si>
    <t>Jan-24</t>
  </si>
  <si>
    <t>Januari  2024</t>
  </si>
  <si>
    <t xml:space="preserve"> 2024</t>
  </si>
  <si>
    <t xml:space="preserve"> 2023</t>
  </si>
  <si>
    <t>Personbilar nyregistreringar januari 2024</t>
  </si>
  <si>
    <t>2024-01-01 -&gt; 2024-01-31</t>
  </si>
  <si>
    <t>2(4)</t>
  </si>
  <si>
    <t>4(2)</t>
  </si>
  <si>
    <t>5(6)</t>
  </si>
  <si>
    <t>8(16)</t>
  </si>
  <si>
    <t>10(9)</t>
  </si>
  <si>
    <t>11(19)</t>
  </si>
  <si>
    <t>12(21)</t>
  </si>
  <si>
    <t>13(17)</t>
  </si>
  <si>
    <t>15(14)</t>
  </si>
  <si>
    <t>16(26)</t>
  </si>
  <si>
    <t>17(13)</t>
  </si>
  <si>
    <t>18(20)</t>
  </si>
  <si>
    <t>19(12)</t>
  </si>
  <si>
    <t>20(25)</t>
  </si>
  <si>
    <t>21(11)</t>
  </si>
  <si>
    <t>22(10)</t>
  </si>
  <si>
    <t>23(29)</t>
  </si>
  <si>
    <t>24(18)</t>
  </si>
  <si>
    <t>25(23)</t>
  </si>
  <si>
    <t>26(27)</t>
  </si>
  <si>
    <t>27(24)</t>
  </si>
  <si>
    <t>28(32)</t>
  </si>
  <si>
    <t>29(34)</t>
  </si>
  <si>
    <t>30(28)</t>
  </si>
  <si>
    <t>31(22)</t>
  </si>
  <si>
    <t>32(43)</t>
  </si>
  <si>
    <t>33(53)</t>
  </si>
  <si>
    <t>34(35)</t>
  </si>
  <si>
    <t>35(30)</t>
  </si>
  <si>
    <t>36(33)</t>
  </si>
  <si>
    <t>37(50)</t>
  </si>
  <si>
    <t>38(49)</t>
  </si>
  <si>
    <t>39(39)</t>
  </si>
  <si>
    <t>40(40)</t>
  </si>
  <si>
    <t>41(31)</t>
  </si>
  <si>
    <t>42(38)</t>
  </si>
  <si>
    <t>43(46)</t>
  </si>
  <si>
    <t>44(47)</t>
  </si>
  <si>
    <t>45(52)</t>
  </si>
  <si>
    <t>46(36)</t>
  </si>
  <si>
    <t>47(37)</t>
  </si>
  <si>
    <t>48(51)</t>
  </si>
  <si>
    <t>49(48)</t>
  </si>
  <si>
    <t>50(41)</t>
  </si>
  <si>
    <t>51(42)</t>
  </si>
  <si>
    <t>52(44)</t>
  </si>
  <si>
    <t>OBS Denna lista är sammanlänkad med A.5 Laddbara PB, vilket medför att placeringarna i kolumn A och marknadsandelarna är beräknade på laddbara bilar totalt.</t>
  </si>
  <si>
    <t>Utgått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</si>
</sst>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9" fontId="18" fillId="0" borderId="0" applyFont="0" applyFill="0" applyBorder="0" applyAlignment="0" applyProtection="0"/>
  </cellStyleXfs>
  <cellXfs count="275">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17" fontId="29" fillId="0" borderId="31" xfId="1" quotePrefix="1" applyNumberFormat="1" applyFont="1" applyBorder="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166" fontId="17" fillId="0" borderId="0" xfId="8" applyNumberFormat="1" applyFont="1"/>
    <xf numFmtId="0" fontId="51" fillId="0" borderId="0" xfId="0" applyFont="1" applyAlignment="1">
      <alignment vertical="center"/>
    </xf>
  </cellXfs>
  <cellStyles count="9">
    <cellStyle name="Hyperlänk" xfId="3" builtinId="8"/>
    <cellStyle name="Normal" xfId="0" builtinId="0"/>
    <cellStyle name="Normal 2" xfId="5" xr:uid="{00000000-0005-0000-0000-000004000000}"/>
    <cellStyle name="Normal_Seasonal Index PC &amp; CV" xfId="4" xr:uid="{00000000-0005-0000-0000-000005000000}"/>
    <cellStyle name="Procent" xfId="8" builtinId="5"/>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2022</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2023</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14601</c:v>
                </c:pt>
                <c:pt idx="1">
                  <c:v>18442</c:v>
                </c:pt>
                <c:pt idx="2">
                  <c:v>30261</c:v>
                </c:pt>
                <c:pt idx="3">
                  <c:v>20586</c:v>
                </c:pt>
                <c:pt idx="4">
                  <c:v>28490</c:v>
                </c:pt>
                <c:pt idx="5">
                  <c:v>28283</c:v>
                </c:pt>
                <c:pt idx="6">
                  <c:v>17300</c:v>
                </c:pt>
                <c:pt idx="7">
                  <c:v>23871</c:v>
                </c:pt>
                <c:pt idx="8">
                  <c:v>28135</c:v>
                </c:pt>
                <c:pt idx="9">
                  <c:v>25016</c:v>
                </c:pt>
                <c:pt idx="10">
                  <c:v>25406</c:v>
                </c:pt>
                <c:pt idx="11">
                  <c:v>29436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2024</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17164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14141824"/>
        <c:axId val="114430336"/>
        <c:extLst/>
      </c:barChart>
      <c:catAx>
        <c:axId val="1141418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4430336"/>
        <c:crosses val="autoZero"/>
        <c:auto val="1"/>
        <c:lblAlgn val="ctr"/>
        <c:lblOffset val="100"/>
        <c:noMultiLvlLbl val="0"/>
      </c:catAx>
      <c:valAx>
        <c:axId val="114430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1414182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lastbilar'!$Q$37:$Q$61</c:f>
              <c:strCache>
                <c:ptCount val="25"/>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strCache>
            </c:strRef>
          </c:cat>
          <c:val>
            <c:numRef>
              <c:f>'B.4 Tunga lastbilar'!$R$37:$R$61</c:f>
              <c:numCache>
                <c:formatCode>0.0</c:formatCode>
                <c:ptCount val="25"/>
                <c:pt idx="0">
                  <c:v>-25.129533678756477</c:v>
                </c:pt>
                <c:pt idx="1">
                  <c:v>-23.440860215053764</c:v>
                </c:pt>
                <c:pt idx="2">
                  <c:v>-5.7581573896353166</c:v>
                </c:pt>
                <c:pt idx="3">
                  <c:v>-9.1254752851711025</c:v>
                </c:pt>
                <c:pt idx="4">
                  <c:v>3.8696537678207736</c:v>
                </c:pt>
                <c:pt idx="5">
                  <c:v>-1.1904761904761905</c:v>
                </c:pt>
                <c:pt idx="6">
                  <c:v>-22.260273972602739</c:v>
                </c:pt>
                <c:pt idx="7">
                  <c:v>7.8378378378378386</c:v>
                </c:pt>
                <c:pt idx="8">
                  <c:v>33.088235294117645</c:v>
                </c:pt>
                <c:pt idx="9">
                  <c:v>24.205378973105134</c:v>
                </c:pt>
                <c:pt idx="10">
                  <c:v>47.435897435897431</c:v>
                </c:pt>
                <c:pt idx="11">
                  <c:v>14.232902033271719</c:v>
                </c:pt>
                <c:pt idx="12">
                  <c:v>57.439446366782008</c:v>
                </c:pt>
                <c:pt idx="13">
                  <c:v>43.539325842696627</c:v>
                </c:pt>
                <c:pt idx="14">
                  <c:v>29.531568228105908</c:v>
                </c:pt>
                <c:pt idx="15">
                  <c:v>7.5313807531380759</c:v>
                </c:pt>
                <c:pt idx="16">
                  <c:v>25.098039215686274</c:v>
                </c:pt>
                <c:pt idx="17">
                  <c:v>17.871485943775099</c:v>
                </c:pt>
                <c:pt idx="18">
                  <c:v>17.180616740088105</c:v>
                </c:pt>
                <c:pt idx="19">
                  <c:v>291.72932330827069</c:v>
                </c:pt>
                <c:pt idx="20">
                  <c:v>-60.405156537753221</c:v>
                </c:pt>
                <c:pt idx="21">
                  <c:v>-38.582677165354326</c:v>
                </c:pt>
                <c:pt idx="22">
                  <c:v>-24.347826086956523</c:v>
                </c:pt>
                <c:pt idx="23">
                  <c:v>-20.711974110032365</c:v>
                </c:pt>
                <c:pt idx="24">
                  <c:v>-23.296703296703296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738816"/>
        <c:axId val="128740352"/>
        <c:extLst/>
      </c:barChart>
      <c:catAx>
        <c:axId val="12873881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740352"/>
        <c:crosses val="autoZero"/>
        <c:auto val="1"/>
        <c:lblAlgn val="ctr"/>
        <c:lblOffset val="100"/>
        <c:noMultiLvlLbl val="0"/>
      </c:catAx>
      <c:valAx>
        <c:axId val="128740352"/>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73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Personbilar'!$Q$37:$Q$61</c:f>
              <c:strCache>
                <c:ptCount val="25"/>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strCache>
            </c:strRef>
          </c:cat>
          <c:val>
            <c:numRef>
              <c:f>'A. Personbilar'!$R$37:$R$61</c:f>
              <c:numCache>
                <c:formatCode>0.0</c:formatCode>
                <c:ptCount val="25"/>
                <c:pt idx="0">
                  <c:v>-3.3053030671268169</c:v>
                </c:pt>
                <c:pt idx="1">
                  <c:v>-7.4484389368130666</c:v>
                </c:pt>
                <c:pt idx="2">
                  <c:v>-39.506953223767383</c:v>
                </c:pt>
                <c:pt idx="3">
                  <c:v>0.32463078963010383</c:v>
                </c:pt>
                <c:pt idx="4">
                  <c:v>8.5748345459777209</c:v>
                </c:pt>
                <c:pt idx="5">
                  <c:v>-27.724061504363483</c:v>
                </c:pt>
                <c:pt idx="6">
                  <c:v>6.2939563714387887</c:v>
                </c:pt>
                <c:pt idx="7">
                  <c:v>3.877221324717286</c:v>
                </c:pt>
                <c:pt idx="8">
                  <c:v>-2.5890253600777591</c:v>
                </c:pt>
                <c:pt idx="9">
                  <c:v>12.128043282236249</c:v>
                </c:pt>
                <c:pt idx="10">
                  <c:v>21.523556231003038</c:v>
                </c:pt>
                <c:pt idx="11">
                  <c:v>28.620114567471539</c:v>
                </c:pt>
                <c:pt idx="12">
                  <c:v>-26.602322424973607</c:v>
                </c:pt>
                <c:pt idx="13">
                  <c:v>-12.746025738077213</c:v>
                </c:pt>
                <c:pt idx="14">
                  <c:v>5.4022988505747129</c:v>
                </c:pt>
                <c:pt idx="15">
                  <c:v>-6.179928903472792</c:v>
                </c:pt>
                <c:pt idx="16">
                  <c:v>7.8635520387687885</c:v>
                </c:pt>
                <c:pt idx="17">
                  <c:v>8.4138301134621294</c:v>
                </c:pt>
                <c:pt idx="18">
                  <c:v>-2.9942805876415837</c:v>
                </c:pt>
                <c:pt idx="19">
                  <c:v>16.013802488335926</c:v>
                </c:pt>
                <c:pt idx="20">
                  <c:v>27.607946298984036</c:v>
                </c:pt>
                <c:pt idx="21">
                  <c:v>11.76339185989367</c:v>
                </c:pt>
                <c:pt idx="22">
                  <c:v>-0.71127090823823669</c:v>
                </c:pt>
                <c:pt idx="23">
                  <c:v>-17.025594768294059</c:v>
                </c:pt>
                <c:pt idx="24" formatCode="#\ ##0.0">
                  <c:v>17.553592219710978</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4886912"/>
        <c:axId val="114892800"/>
        <c:extLst/>
      </c:barChart>
      <c:catAx>
        <c:axId val="11488691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4892800"/>
        <c:crosses val="autoZero"/>
        <c:auto val="1"/>
        <c:lblAlgn val="ctr"/>
        <c:lblOffset val="100"/>
        <c:noMultiLvlLbl val="0"/>
      </c:catAx>
      <c:valAx>
        <c:axId val="114892800"/>
        <c:scaling>
          <c:orientation val="minMax"/>
        </c:scaling>
        <c:delete val="0"/>
        <c:axPos val="l"/>
        <c:majorGridlines>
          <c:spPr>
            <a:ln w="9525" cap="flat" cmpd="sng" algn="ctr">
              <a:solidFill>
                <a:srgbClr val="5B9BD5"/>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488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Elhybrid</c:v>
                </c:pt>
                <c:pt idx="4">
                  <c:v>Diesel</c:v>
                </c:pt>
                <c:pt idx="5">
                  <c:v>Etanol</c:v>
                </c:pt>
                <c:pt idx="6">
                  <c:v>Gas</c:v>
                </c:pt>
              </c:strCache>
            </c:strRef>
          </c:cat>
          <c:val>
            <c:numRef>
              <c:f>'A.4 Drivmedel PB'!$M$32:$M$38</c:f>
              <c:numCache>
                <c:formatCode>0.0</c:formatCode>
                <c:ptCount val="7"/>
                <c:pt idx="0">
                  <c:v>28.757865299463997</c:v>
                </c:pt>
                <c:pt idx="1">
                  <c:v>23.724073642507573</c:v>
                </c:pt>
                <c:pt idx="2">
                  <c:v>22.972500582614774</c:v>
                </c:pt>
                <c:pt idx="3">
                  <c:v>10.597762759263576</c:v>
                </c:pt>
                <c:pt idx="4">
                  <c:v>10.003495688650665</c:v>
                </c:pt>
                <c:pt idx="5">
                  <c:v>2.8198555115357729</c:v>
                </c:pt>
                <c:pt idx="6">
                  <c:v>1.0137497086926124</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2022</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2023</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52.2</c:v>
                </c:pt>
                <c:pt idx="1">
                  <c:v>54</c:v>
                </c:pt>
                <c:pt idx="2">
                  <c:v>59.9</c:v>
                </c:pt>
                <c:pt idx="3">
                  <c:v>55.8</c:v>
                </c:pt>
                <c:pt idx="4">
                  <c:v>61.9</c:v>
                </c:pt>
                <c:pt idx="5">
                  <c:v>59.2</c:v>
                </c:pt>
                <c:pt idx="6">
                  <c:v>59.9</c:v>
                </c:pt>
                <c:pt idx="7">
                  <c:v>60.1</c:v>
                </c:pt>
                <c:pt idx="8">
                  <c:v>63.4</c:v>
                </c:pt>
                <c:pt idx="9">
                  <c:v>60.6</c:v>
                </c:pt>
                <c:pt idx="10">
                  <c:v>60.5</c:v>
                </c:pt>
                <c:pt idx="11">
                  <c:v>63.1</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2024</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714816"/>
        <c:axId val="1720704"/>
        <c:extLst/>
      </c:barChart>
      <c:catAx>
        <c:axId val="17148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720704"/>
        <c:crosses val="autoZero"/>
        <c:auto val="1"/>
        <c:lblAlgn val="ctr"/>
        <c:lblOffset val="100"/>
        <c:noMultiLvlLbl val="0"/>
      </c:catAx>
      <c:valAx>
        <c:axId val="17207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714816"/>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2022</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2023</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4203</c:v>
                </c:pt>
                <c:pt idx="1">
                  <c:v>6124</c:v>
                </c:pt>
                <c:pt idx="2">
                  <c:v>12577</c:v>
                </c:pt>
                <c:pt idx="3">
                  <c:v>6928</c:v>
                </c:pt>
                <c:pt idx="4">
                  <c:v>11657</c:v>
                </c:pt>
                <c:pt idx="5">
                  <c:v>10956</c:v>
                </c:pt>
                <c:pt idx="6">
                  <c:v>6487</c:v>
                </c:pt>
                <c:pt idx="7">
                  <c:v>9784</c:v>
                </c:pt>
                <c:pt idx="8">
                  <c:v>12500</c:v>
                </c:pt>
                <c:pt idx="9">
                  <c:v>9408</c:v>
                </c:pt>
                <c:pt idx="10">
                  <c:v>10076</c:v>
                </c:pt>
                <c:pt idx="11">
                  <c:v>11510</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2024</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4936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164992"/>
        <c:axId val="128166528"/>
        <c:extLst/>
      </c:barChart>
      <c:catAx>
        <c:axId val="1281649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166528"/>
        <c:crosses val="autoZero"/>
        <c:auto val="1"/>
        <c:lblAlgn val="ctr"/>
        <c:lblOffset val="100"/>
        <c:noMultiLvlLbl val="0"/>
      </c:catAx>
      <c:valAx>
        <c:axId val="128166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16499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2022</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2023</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3424</c:v>
                </c:pt>
                <c:pt idx="1">
                  <c:v>3842</c:v>
                </c:pt>
                <c:pt idx="2">
                  <c:v>5540</c:v>
                </c:pt>
                <c:pt idx="3">
                  <c:v>4549</c:v>
                </c:pt>
                <c:pt idx="4">
                  <c:v>5975</c:v>
                </c:pt>
                <c:pt idx="5">
                  <c:v>5798</c:v>
                </c:pt>
                <c:pt idx="6">
                  <c:v>3882</c:v>
                </c:pt>
                <c:pt idx="7">
                  <c:v>4557</c:v>
                </c:pt>
                <c:pt idx="8">
                  <c:v>5337</c:v>
                </c:pt>
                <c:pt idx="9">
                  <c:v>5749</c:v>
                </c:pt>
                <c:pt idx="10">
                  <c:v>5307</c:v>
                </c:pt>
                <c:pt idx="11">
                  <c:v>7064</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2024</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4072</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516800"/>
        <c:axId val="125555456"/>
        <c:extLst/>
      </c:barChart>
      <c:catAx>
        <c:axId val="1255168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555456"/>
        <c:crosses val="autoZero"/>
        <c:auto val="1"/>
        <c:lblAlgn val="ctr"/>
        <c:lblOffset val="100"/>
        <c:noMultiLvlLbl val="0"/>
      </c:catAx>
      <c:valAx>
        <c:axId val="1255554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51680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2022-2024</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2022</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2023</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2356</c:v>
                </c:pt>
                <c:pt idx="1">
                  <c:v>2983</c:v>
                </c:pt>
                <c:pt idx="2">
                  <c:v>3654</c:v>
                </c:pt>
                <c:pt idx="3">
                  <c:v>3203</c:v>
                </c:pt>
                <c:pt idx="4">
                  <c:v>3919</c:v>
                </c:pt>
                <c:pt idx="5">
                  <c:v>4111</c:v>
                </c:pt>
                <c:pt idx="6">
                  <c:v>2010</c:v>
                </c:pt>
                <c:pt idx="7">
                  <c:v>4044</c:v>
                </c:pt>
                <c:pt idx="8">
                  <c:v>4477</c:v>
                </c:pt>
                <c:pt idx="9">
                  <c:v>4199</c:v>
                </c:pt>
                <c:pt idx="10">
                  <c:v>3850</c:v>
                </c:pt>
                <c:pt idx="11">
                  <c:v>4907</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2024</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2690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645760"/>
        <c:axId val="129446272"/>
        <c:extLst/>
      </c:barChart>
      <c:catAx>
        <c:axId val="1286457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446272"/>
        <c:crosses val="autoZero"/>
        <c:auto val="1"/>
        <c:lblAlgn val="ctr"/>
        <c:lblOffset val="100"/>
        <c:noMultiLvlLbl val="0"/>
      </c:catAx>
      <c:valAx>
        <c:axId val="1294462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4576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lastbilar'!$Q$37:$Q$61</c:f>
              <c:strCache>
                <c:ptCount val="25"/>
                <c:pt idx="0">
                  <c:v>Jan-22</c:v>
                </c:pt>
                <c:pt idx="1">
                  <c:v>Feb-22</c:v>
                </c:pt>
                <c:pt idx="2">
                  <c:v>Mar-22</c:v>
                </c:pt>
                <c:pt idx="3">
                  <c:v>Apr-22</c:v>
                </c:pt>
                <c:pt idx="4">
                  <c:v>Maj-22</c:v>
                </c:pt>
                <c:pt idx="5">
                  <c:v>Jun-22</c:v>
                </c:pt>
                <c:pt idx="6">
                  <c:v>Jul-22</c:v>
                </c:pt>
                <c:pt idx="7">
                  <c:v>Aug-22</c:v>
                </c:pt>
                <c:pt idx="8">
                  <c:v>Sep-22</c:v>
                </c:pt>
                <c:pt idx="9">
                  <c:v>Okt-22</c:v>
                </c:pt>
                <c:pt idx="10">
                  <c:v>Nov-22</c:v>
                </c:pt>
                <c:pt idx="11">
                  <c:v>Dec-22</c:v>
                </c:pt>
                <c:pt idx="12">
                  <c:v>Jan-23</c:v>
                </c:pt>
                <c:pt idx="13">
                  <c:v>Feb-23</c:v>
                </c:pt>
                <c:pt idx="14">
                  <c:v>Mar-23</c:v>
                </c:pt>
                <c:pt idx="15">
                  <c:v>Apr-23</c:v>
                </c:pt>
                <c:pt idx="16">
                  <c:v>Maj-23</c:v>
                </c:pt>
                <c:pt idx="17">
                  <c:v>Jun-23</c:v>
                </c:pt>
                <c:pt idx="18">
                  <c:v>Jul-23</c:v>
                </c:pt>
                <c:pt idx="19">
                  <c:v>Aug-23</c:v>
                </c:pt>
                <c:pt idx="20">
                  <c:v>Sep-23</c:v>
                </c:pt>
                <c:pt idx="21">
                  <c:v>Okt-23</c:v>
                </c:pt>
                <c:pt idx="22">
                  <c:v>Nov-23</c:v>
                </c:pt>
                <c:pt idx="23">
                  <c:v>Dec-23</c:v>
                </c:pt>
                <c:pt idx="24">
                  <c:v>Jan-24</c:v>
                </c:pt>
              </c:strCache>
            </c:strRef>
          </c:cat>
          <c:val>
            <c:numRef>
              <c:f>'B.1 Lätta lastbilar'!$R$37:$R$61</c:f>
              <c:numCache>
                <c:formatCode>0.0</c:formatCode>
                <c:ptCount val="25"/>
                <c:pt idx="0">
                  <c:v>-3.4899953466728708</c:v>
                </c:pt>
                <c:pt idx="1">
                  <c:v>-7.8891257995735611</c:v>
                </c:pt>
                <c:pt idx="2">
                  <c:v>-60.334101382488484</c:v>
                </c:pt>
                <c:pt idx="3">
                  <c:v>54.984260230849948</c:v>
                </c:pt>
                <c:pt idx="4">
                  <c:v>6.9942611190817789</c:v>
                </c:pt>
                <c:pt idx="5">
                  <c:v>-17.011787193373689</c:v>
                </c:pt>
                <c:pt idx="6">
                  <c:v>-0.96899224806201545</c:v>
                </c:pt>
                <c:pt idx="7">
                  <c:v>16.495629038388447</c:v>
                </c:pt>
                <c:pt idx="8">
                  <c:v>10.191725529767911</c:v>
                </c:pt>
                <c:pt idx="9">
                  <c:v>7.1220324864639739</c:v>
                </c:pt>
                <c:pt idx="10">
                  <c:v>39.132231404958681</c:v>
                </c:pt>
                <c:pt idx="11">
                  <c:v>45.389307499102976</c:v>
                </c:pt>
                <c:pt idx="12">
                  <c:v>13.596914175506269</c:v>
                </c:pt>
                <c:pt idx="13">
                  <c:v>15.084876543209877</c:v>
                </c:pt>
                <c:pt idx="14">
                  <c:v>6.1283764159163523</c:v>
                </c:pt>
                <c:pt idx="15">
                  <c:v>8.4292484766418418</c:v>
                </c:pt>
                <c:pt idx="16">
                  <c:v>31.377807576265504</c:v>
                </c:pt>
                <c:pt idx="17">
                  <c:v>57.811900191938584</c:v>
                </c:pt>
                <c:pt idx="18">
                  <c:v>31.115459882583167</c:v>
                </c:pt>
                <c:pt idx="19">
                  <c:v>31.941272430668842</c:v>
                </c:pt>
                <c:pt idx="20">
                  <c:v>36.660561660561655</c:v>
                </c:pt>
                <c:pt idx="21">
                  <c:v>63.258164852255049</c:v>
                </c:pt>
                <c:pt idx="22">
                  <c:v>14.345114345114347</c:v>
                </c:pt>
                <c:pt idx="23">
                  <c:v>21.100691016781838</c:v>
                </c:pt>
                <c:pt idx="24">
                  <c:v>14.176570458404075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9497728"/>
        <c:axId val="129515904"/>
        <c:extLst/>
      </c:barChart>
      <c:catAx>
        <c:axId val="129497728"/>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515904"/>
        <c:crosses val="autoZero"/>
        <c:auto val="1"/>
        <c:lblAlgn val="ctr"/>
        <c:lblOffset val="100"/>
        <c:noMultiLvlLbl val="0"/>
      </c:catAx>
      <c:valAx>
        <c:axId val="12951590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49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2022-2024</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2022</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2023</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455</c:v>
                </c:pt>
                <c:pt idx="1">
                  <c:v>511</c:v>
                </c:pt>
                <c:pt idx="2">
                  <c:v>636</c:v>
                </c:pt>
                <c:pt idx="3">
                  <c:v>514</c:v>
                </c:pt>
                <c:pt idx="4">
                  <c:v>638</c:v>
                </c:pt>
                <c:pt idx="5">
                  <c:v>587</c:v>
                </c:pt>
                <c:pt idx="6">
                  <c:v>266</c:v>
                </c:pt>
                <c:pt idx="7">
                  <c:v>1563</c:v>
                </c:pt>
                <c:pt idx="8">
                  <c:v>215</c:v>
                </c:pt>
                <c:pt idx="9">
                  <c:v>312</c:v>
                </c:pt>
                <c:pt idx="10">
                  <c:v>435</c:v>
                </c:pt>
                <c:pt idx="11">
                  <c:v>490</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2024</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349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328640"/>
        <c:axId val="129330176"/>
        <c:extLst/>
      </c:barChart>
      <c:catAx>
        <c:axId val="12932864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330176"/>
        <c:crosses val="autoZero"/>
        <c:auto val="1"/>
        <c:lblAlgn val="ctr"/>
        <c:lblOffset val="100"/>
        <c:noMultiLvlLbl val="0"/>
      </c:catAx>
      <c:valAx>
        <c:axId val="129330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32864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101600</xdr:colOff>
      <xdr:row>0</xdr:row>
      <xdr:rowOff>12700</xdr:rowOff>
    </xdr:from>
    <xdr:to>
      <xdr:col>1</xdr:col>
      <xdr:colOff>454260</xdr:colOff>
      <xdr:row>1</xdr:row>
      <xdr:rowOff>137406</xdr:rowOff>
    </xdr:to>
    <xdr:pic>
      <xdr:nvPicPr>
        <xdr:cNvPr id="5" name="Bildobjekt 6">
          <a:extLst>
            <a:ext uri="{FF2B5EF4-FFF2-40B4-BE49-F238E27FC236}">
              <a16:creationId xmlns:a16="http://schemas.microsoft.com/office/drawing/2014/main" id="{013CACB0-0151-1048-9AB6-833FAACA59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12700"/>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jan  2024</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323.325371643521" createdVersion="6" refreshedVersion="4" minRefreshableVersion="3" recordCount="50" xr:uid="{00000000-000A-0000-FFFF-FFFF05000000}">
  <cacheSource type="external" connectionId="5"/>
  <cacheFields count="14">
    <cacheField name="gaNamn" numFmtId="0">
      <sharedItems count="41">
        <s v="Astara"/>
        <s v="BC Sweden"/>
        <s v="BMW Northern Europe"/>
        <s v="General Motors Sweden"/>
        <s v="Hedin Mobility Group"/>
        <s v="Honda Nordic"/>
        <s v="Hyundai Bilar Import"/>
        <s v="IM Nordic"/>
        <s v="Iveco"/>
        <s v="KIA Sweden"/>
        <s v="KW Bruun Autoimport"/>
        <s v="KW Bruun MMC"/>
        <s v="Lotus Cars Sweden"/>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KIA Motors Sweden" u="1"/>
        <s v="Subaru Nordic" u="1"/>
        <s v="SC Motors Sweden" u="1"/>
        <s v="NEVS" u="1"/>
        <s v="Tesla" u="1"/>
        <s v="RN Nordic" u="1"/>
        <s v="Hedin Electric Mobility" u="1"/>
        <s v="Hedin MG Sweden" u="1"/>
        <s v="Hedin Motor Company" u="1"/>
        <s v="FCA Sweden" u="1"/>
        <s v="General Motors Mobility" u="1"/>
        <s v="Renault Nordic Sverige" u="1"/>
        <s v="LEVC" u="1"/>
      </sharedItems>
    </cacheField>
    <cacheField name="modell" numFmtId="0">
      <sharedItems count="55">
        <s v="Alfa Romeo"/>
        <s v="Fiat"/>
        <s v="Jaguar"/>
        <s v="Land Rover"/>
        <s v="BMW"/>
        <s v="Mini"/>
        <s v="Cadillac"/>
        <s v="Övriga"/>
        <s v="Alpine"/>
        <s v="BYD"/>
        <s v="Dacia"/>
        <s v="Ford"/>
        <s v="Hongqi"/>
        <s v="Ineos"/>
        <s v="MG"/>
        <s v="Renault"/>
        <s v="Honda"/>
        <s v="Hyundai"/>
        <s v="ORA"/>
        <s v="Subaru"/>
        <s v="Iveco"/>
        <s v="Kia"/>
        <s v="Citroen"/>
        <s v="DS"/>
        <s v="Opel"/>
        <s v="Peugeot"/>
        <s v="Mitsubishi"/>
        <s v="Suzuki"/>
        <s v="Lynk &amp; Co"/>
        <s v="Mazda"/>
        <s v="Mercedes"/>
        <s v="Mercedes AMG"/>
        <s v="Nio"/>
        <s v="Nissan"/>
        <s v="Polestar"/>
        <s v="Maxus"/>
        <s v="SsangYong"/>
        <s v="Tesla"/>
        <s v="Lexus"/>
        <s v="Toyota"/>
        <s v="Audi"/>
        <s v="CUPRA"/>
        <s v="Porsche"/>
        <s v="Seat"/>
        <s v="Skoda"/>
        <s v="Volkswagen"/>
        <s v="Volvo"/>
        <s v="Xpeng"/>
        <s v="MAN" u="1"/>
        <s v="LEVC" u="1"/>
        <s v="NEVS" u="1"/>
        <s v="Polestar 2" u="1"/>
        <s v="JAC" u="1"/>
        <s v="Jeep" u="1"/>
        <s v="Smart" u="1"/>
      </sharedItems>
    </cacheField>
    <cacheField name="antalPerioden" numFmtId="0">
      <sharedItems containsSemiMixedTypes="0" containsString="0" containsNumber="1" containsInteger="1" minValue="0" maxValue="3079"/>
    </cacheField>
    <cacheField name="antalFGPeriod" numFmtId="0">
      <sharedItems containsSemiMixedTypes="0" containsString="0" containsNumber="1" containsInteger="1" minValue="0" maxValue="3026"/>
    </cacheField>
    <cacheField name="antalÅret" numFmtId="0">
      <sharedItems containsSemiMixedTypes="0" containsString="0" containsNumber="1" containsInteger="1" minValue="0" maxValue="3079"/>
    </cacheField>
    <cacheField name="antalFGAr" numFmtId="0">
      <sharedItems containsSemiMixedTypes="0" containsString="0" containsNumber="1" containsInteger="1" minValue="0" maxValue="3026"/>
    </cacheField>
    <cacheField name="changePeriod" numFmtId="0">
      <sharedItems containsSemiMixedTypes="0" containsString="0" containsNumber="1" minValue="-100" maxValue="657.89"/>
    </cacheField>
    <cacheField name="changeAret" numFmtId="0">
      <sharedItems containsSemiMixedTypes="0" containsString="0" containsNumber="1" minValue="-100" maxValue="657.89"/>
    </cacheField>
    <cacheField name="shrPeriod" numFmtId="0">
      <sharedItems containsSemiMixedTypes="0" containsString="0" containsNumber="1" minValue="0" maxValue="17.940000000000001"/>
    </cacheField>
    <cacheField name="shrYear" numFmtId="0">
      <sharedItems containsSemiMixedTypes="0" containsString="0" containsNumber="1" minValue="0" maxValue="17.940000000000001"/>
    </cacheField>
    <cacheField name="shrPrevPeriod" numFmtId="0">
      <sharedItems containsSemiMixedTypes="0" containsString="0" containsNumber="1" minValue="0" maxValue="20.72"/>
    </cacheField>
    <cacheField name="shrPrevYear" numFmtId="0">
      <sharedItems containsSemiMixedTypes="0" containsString="0" containsNumber="1" minValue="0" maxValue="20.72"/>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323.325375925924" createdVersion="6" refreshedVersion="4" minRefreshableVersion="3" recordCount="4" xr:uid="{00000000-000A-0000-FFFF-FFFF07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11" maxValue="2690" count="4">
        <n v="2690"/>
        <n v="11"/>
        <n v="22"/>
        <n v="349"/>
      </sharedItems>
    </cacheField>
    <cacheField name="antalPeriodenFG" numFmtId="0">
      <sharedItems containsSemiMixedTypes="0" containsString="0" containsNumber="1" containsInteger="1" minValue="18" maxValue="2356" count="4">
        <n v="2356"/>
        <n v="18"/>
        <n v="22"/>
        <n v="455"/>
      </sharedItems>
    </cacheField>
    <cacheField name="antalAret" numFmtId="0">
      <sharedItems containsSemiMixedTypes="0" containsString="0" containsNumber="1" containsInteger="1" minValue="11" maxValue="2690" count="4">
        <n v="2690"/>
        <n v="11"/>
        <n v="22"/>
        <n v="349"/>
      </sharedItems>
    </cacheField>
    <cacheField name="antalAretFG" numFmtId="0">
      <sharedItems containsSemiMixedTypes="0" containsString="0" containsNumber="1" containsInteger="1" minValue="18" maxValue="2356" count="4">
        <n v="2356"/>
        <n v="18"/>
        <n v="22"/>
        <n v="455"/>
      </sharedItems>
    </cacheField>
    <cacheField name="chgPerioden" numFmtId="0">
      <sharedItems containsSemiMixedTypes="0" containsString="0" containsNumber="1" minValue="-38.9" maxValue="14.2" count="4">
        <n v="14.2"/>
        <n v="-38.9"/>
        <n v="0"/>
        <n v="-23.3"/>
      </sharedItems>
    </cacheField>
    <cacheField name="chgAret" numFmtId="0">
      <sharedItems containsSemiMixedTypes="0" containsString="0" containsNumber="1" minValue="-38.9" maxValue="14.2" count="4">
        <n v="14.2"/>
        <n v="-38.9"/>
        <n v="0"/>
        <n v="-23.3"/>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323.325376388886" createdVersion="6" refreshedVersion="4" minRefreshableVersion="3" recordCount="10" xr:uid="{00000000-000A-0000-FFFF-FFFF09000000}">
  <cacheSource type="external" connectionId="16"/>
  <cacheFields count="15">
    <cacheField name="Fabrikat" numFmtId="0">
      <sharedItems count="12">
        <s v="Iveco"/>
        <s v="Mercedes"/>
        <s v="Setra"/>
        <s v="Scania"/>
        <s v="Volvo"/>
        <s v="Övriga"/>
        <s v="Totalt antal"/>
        <s v="Ford" u="1"/>
        <s v="GMC" u="1"/>
        <s v="Neoplan" u="1"/>
        <s v="BYD" u="1"/>
        <s v="MAN" u="1"/>
      </sharedItems>
    </cacheField>
    <cacheField name="År" numFmtId="0">
      <sharedItems containsSemiMixedTypes="0" containsString="0" containsNumber="1" containsInteger="1" minValue="2020" maxValue="2024" count="5">
        <n v="2023"/>
        <n v="2024"/>
        <n v="2022" u="1"/>
        <n v="2020" u="1"/>
        <n v="2021" u="1"/>
      </sharedItems>
    </cacheField>
    <cacheField name="I År" numFmtId="0">
      <sharedItems containsSemiMixedTypes="0" containsString="0" containsNumber="1" containsInteger="1" minValue="0" maxValue="7" count="7">
        <n v="0"/>
        <n v="2"/>
        <n v="3"/>
        <n v="5"/>
        <n v="1"/>
        <n v="4"/>
        <n v="7"/>
      </sharedItems>
    </cacheField>
    <cacheField name="Jan" numFmtId="0">
      <sharedItems containsSemiMixedTypes="0" containsString="0" containsNumber="1" containsInteger="1" minValue="0" maxValue="7" count="7">
        <n v="0"/>
        <n v="2"/>
        <n v="3"/>
        <n v="5"/>
        <n v="1"/>
        <n v="4"/>
        <n v="7"/>
      </sharedItems>
    </cacheField>
    <cacheField name="Feb" numFmtId="0">
      <sharedItems containsSemiMixedTypes="0" containsString="0" containsNumber="1" containsInteger="1" minValue="0" maxValue="23" count="6">
        <n v="0"/>
        <n v="2"/>
        <n v="4"/>
        <n v="14"/>
        <n v="3"/>
        <n v="23"/>
      </sharedItems>
    </cacheField>
    <cacheField name="Mar" numFmtId="0">
      <sharedItems containsSemiMixedTypes="0" containsString="0" containsNumber="1" containsInteger="1" minValue="0" maxValue="10" count="5">
        <n v="0"/>
        <n v="3"/>
        <n v="1"/>
        <n v="5"/>
        <n v="10"/>
      </sharedItems>
    </cacheField>
    <cacheField name="Apr" numFmtId="0">
      <sharedItems containsSemiMixedTypes="0" containsString="0" containsNumber="1" containsInteger="1" minValue="0" maxValue="23" count="7">
        <n v="0"/>
        <n v="8"/>
        <n v="3"/>
        <n v="1"/>
        <n v="9"/>
        <n v="2"/>
        <n v="23"/>
      </sharedItems>
    </cacheField>
    <cacheField name="Maj" numFmtId="0">
      <sharedItems containsSemiMixedTypes="0" containsString="0" containsNumber="1" containsInteger="1" minValue="0" maxValue="8" count="4">
        <n v="1"/>
        <n v="0"/>
        <n v="3"/>
        <n v="8"/>
      </sharedItems>
    </cacheField>
    <cacheField name="Jun" numFmtId="0">
      <sharedItems containsSemiMixedTypes="0" containsString="0" containsNumber="1" containsInteger="1" minValue="0" maxValue="1" count="2">
        <n v="0"/>
        <n v="1"/>
      </sharedItems>
    </cacheField>
    <cacheField name="Jul" numFmtId="0">
      <sharedItems containsSemiMixedTypes="0" containsString="0" containsNumber="1" containsInteger="1" minValue="0" maxValue="4" count="4">
        <n v="0"/>
        <n v="3"/>
        <n v="1"/>
        <n v="4"/>
      </sharedItems>
    </cacheField>
    <cacheField name="Aug" numFmtId="0">
      <sharedItems containsSemiMixedTypes="0" containsString="0" containsNumber="1" containsInteger="1" minValue="0" maxValue="5" count="4">
        <n v="3"/>
        <n v="0"/>
        <n v="1"/>
        <n v="5"/>
      </sharedItems>
    </cacheField>
    <cacheField name="Sep" numFmtId="0">
      <sharedItems containsSemiMixedTypes="0" containsString="0" containsNumber="1" containsInteger="1" minValue="0" maxValue="3" count="3">
        <n v="1"/>
        <n v="0"/>
        <n v="3"/>
      </sharedItems>
    </cacheField>
    <cacheField name="Okt" numFmtId="0">
      <sharedItems containsSemiMixedTypes="0" containsString="0" containsNumber="1" containsInteger="1" minValue="0" maxValue="0" count="1">
        <n v="0"/>
      </sharedItems>
    </cacheField>
    <cacheField name="Nov" numFmtId="0">
      <sharedItems containsSemiMixedTypes="0" containsString="0" containsNumber="1" containsInteger="1" minValue="0" maxValue="3" count="4">
        <n v="0"/>
        <n v="1"/>
        <n v="2"/>
        <n v="3"/>
      </sharedItems>
    </cacheField>
    <cacheField name="Dec" numFmtId="0">
      <sharedItems containsSemiMixedTypes="0" containsString="0" containsNumber="1" containsInteger="1" minValue="0" maxValue="3" count="4">
        <n v="0"/>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Cache/pivotCacheRecords2.xml><?xml version="1.0" encoding="utf-8"?>
<pivotCacheRecords xmlns="http://schemas.openxmlformats.org/spreadsheetml/2006/main" xmlns:r="http://schemas.openxmlformats.org/officeDocument/2006/relationships" count="10">
  <r>
    <x v="0"/>
    <x v="0"/>
    <x v="0"/>
    <x v="0"/>
    <x v="0"/>
    <x v="0"/>
    <x v="0"/>
    <x v="0"/>
    <x v="0"/>
    <x v="0"/>
    <x v="0"/>
    <x v="0"/>
    <x v="0"/>
    <x v="0"/>
    <x v="0"/>
  </r>
  <r>
    <x v="1"/>
    <x v="0"/>
    <x v="0"/>
    <x v="0"/>
    <x v="1"/>
    <x v="0"/>
    <x v="1"/>
    <x v="0"/>
    <x v="0"/>
    <x v="1"/>
    <x v="1"/>
    <x v="0"/>
    <x v="0"/>
    <x v="0"/>
    <x v="1"/>
  </r>
  <r>
    <x v="2"/>
    <x v="0"/>
    <x v="0"/>
    <x v="0"/>
    <x v="0"/>
    <x v="1"/>
    <x v="2"/>
    <x v="1"/>
    <x v="0"/>
    <x v="0"/>
    <x v="1"/>
    <x v="1"/>
    <x v="0"/>
    <x v="0"/>
    <x v="0"/>
  </r>
  <r>
    <x v="3"/>
    <x v="0"/>
    <x v="1"/>
    <x v="1"/>
    <x v="2"/>
    <x v="2"/>
    <x v="3"/>
    <x v="2"/>
    <x v="1"/>
    <x v="0"/>
    <x v="2"/>
    <x v="1"/>
    <x v="0"/>
    <x v="1"/>
    <x v="2"/>
  </r>
  <r>
    <x v="4"/>
    <x v="1"/>
    <x v="2"/>
    <x v="2"/>
    <x v="0"/>
    <x v="0"/>
    <x v="0"/>
    <x v="1"/>
    <x v="0"/>
    <x v="0"/>
    <x v="1"/>
    <x v="1"/>
    <x v="0"/>
    <x v="0"/>
    <x v="0"/>
  </r>
  <r>
    <x v="4"/>
    <x v="0"/>
    <x v="3"/>
    <x v="3"/>
    <x v="3"/>
    <x v="3"/>
    <x v="4"/>
    <x v="2"/>
    <x v="0"/>
    <x v="2"/>
    <x v="2"/>
    <x v="0"/>
    <x v="0"/>
    <x v="2"/>
    <x v="0"/>
  </r>
  <r>
    <x v="5"/>
    <x v="1"/>
    <x v="4"/>
    <x v="4"/>
    <x v="0"/>
    <x v="0"/>
    <x v="0"/>
    <x v="1"/>
    <x v="0"/>
    <x v="0"/>
    <x v="1"/>
    <x v="1"/>
    <x v="0"/>
    <x v="0"/>
    <x v="0"/>
  </r>
  <r>
    <x v="5"/>
    <x v="0"/>
    <x v="0"/>
    <x v="0"/>
    <x v="4"/>
    <x v="2"/>
    <x v="5"/>
    <x v="1"/>
    <x v="0"/>
    <x v="0"/>
    <x v="1"/>
    <x v="1"/>
    <x v="0"/>
    <x v="0"/>
    <x v="0"/>
  </r>
  <r>
    <x v="6"/>
    <x v="1"/>
    <x v="5"/>
    <x v="5"/>
    <x v="0"/>
    <x v="0"/>
    <x v="0"/>
    <x v="1"/>
    <x v="0"/>
    <x v="0"/>
    <x v="1"/>
    <x v="1"/>
    <x v="0"/>
    <x v="0"/>
    <x v="0"/>
  </r>
  <r>
    <x v="6"/>
    <x v="0"/>
    <x v="6"/>
    <x v="6"/>
    <x v="5"/>
    <x v="4"/>
    <x v="6"/>
    <x v="3"/>
    <x v="1"/>
    <x v="3"/>
    <x v="3"/>
    <x v="2"/>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5" firstHeaderRow="0" firstDataRow="1" firstDataCol="1"/>
  <pivotFields count="14">
    <pivotField axis="axisRow" showAll="0" sortType="ascending">
      <items count="42">
        <item x="0"/>
        <item x="1"/>
        <item m="1" x="27"/>
        <item x="2"/>
        <item m="1" x="37"/>
        <item m="1" x="38"/>
        <item x="3"/>
        <item m="1" x="34"/>
        <item m="1" x="35"/>
        <item x="4"/>
        <item m="1" x="36"/>
        <item x="5"/>
        <item x="6"/>
        <item x="7"/>
        <item x="8"/>
        <item m="1" x="28"/>
        <item x="9"/>
        <item x="10"/>
        <item x="11"/>
        <item m="1" x="40"/>
        <item x="12"/>
        <item x="13"/>
        <item x="14"/>
        <item x="15"/>
        <item x="16"/>
        <item m="1" x="31"/>
        <item x="17"/>
        <item x="18"/>
        <item x="19"/>
        <item m="1" x="39"/>
        <item m="1" x="33"/>
        <item x="20"/>
        <item m="1" x="30"/>
        <item m="1" x="29"/>
        <item m="1" x="32"/>
        <item x="21"/>
        <item x="22"/>
        <item x="23"/>
        <item x="24"/>
        <item x="25"/>
        <item x="26"/>
        <item t="default"/>
      </items>
    </pivotField>
    <pivotField axis="axisRow" showAll="0">
      <items count="56">
        <item x="0"/>
        <item x="40"/>
        <item x="4"/>
        <item x="22"/>
        <item x="10"/>
        <item x="23"/>
        <item x="1"/>
        <item x="11"/>
        <item x="16"/>
        <item x="17"/>
        <item x="20"/>
        <item x="2"/>
        <item m="1" x="53"/>
        <item x="21"/>
        <item x="3"/>
        <item x="38"/>
        <item x="35"/>
        <item x="29"/>
        <item x="30"/>
        <item x="31"/>
        <item x="5"/>
        <item x="26"/>
        <item m="1" x="50"/>
        <item x="33"/>
        <item x="24"/>
        <item x="25"/>
        <item x="34"/>
        <item x="42"/>
        <item x="15"/>
        <item x="43"/>
        <item x="44"/>
        <item m="1" x="54"/>
        <item x="19"/>
        <item x="27"/>
        <item x="37"/>
        <item x="39"/>
        <item x="45"/>
        <item x="46"/>
        <item x="7"/>
        <item x="6"/>
        <item x="28"/>
        <item m="1" x="51"/>
        <item x="8"/>
        <item x="14"/>
        <item x="36"/>
        <item m="1" x="49"/>
        <item x="47"/>
        <item x="9"/>
        <item x="18"/>
        <item x="32"/>
        <item x="41"/>
        <item x="12"/>
        <item x="13"/>
        <item m="1" x="52"/>
        <item m="1" x="48"/>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8">
    <i>
      <x/>
    </i>
    <i r="1">
      <x/>
    </i>
    <i r="1">
      <x v="6"/>
    </i>
    <i>
      <x v="1"/>
    </i>
    <i r="1">
      <x v="11"/>
    </i>
    <i r="1">
      <x v="14"/>
    </i>
    <i>
      <x v="3"/>
    </i>
    <i r="1">
      <x v="2"/>
    </i>
    <i r="1">
      <x v="20"/>
    </i>
    <i>
      <x v="6"/>
    </i>
    <i r="1">
      <x v="38"/>
    </i>
    <i r="1">
      <x v="39"/>
    </i>
    <i>
      <x v="9"/>
    </i>
    <i r="1">
      <x v="4"/>
    </i>
    <i r="1">
      <x v="7"/>
    </i>
    <i r="1">
      <x v="28"/>
    </i>
    <i r="1">
      <x v="42"/>
    </i>
    <i r="1">
      <x v="43"/>
    </i>
    <i r="1">
      <x v="47"/>
    </i>
    <i r="1">
      <x v="51"/>
    </i>
    <i r="1">
      <x v="52"/>
    </i>
    <i>
      <x v="11"/>
    </i>
    <i r="1">
      <x v="8"/>
    </i>
    <i>
      <x v="12"/>
    </i>
    <i r="1">
      <x v="9"/>
    </i>
    <i>
      <x v="13"/>
    </i>
    <i r="1">
      <x v="32"/>
    </i>
    <i r="1">
      <x v="48"/>
    </i>
    <i>
      <x v="14"/>
    </i>
    <i r="1">
      <x v="10"/>
    </i>
    <i>
      <x v="16"/>
    </i>
    <i r="1">
      <x v="13"/>
    </i>
    <i>
      <x v="17"/>
    </i>
    <i r="1">
      <x v="3"/>
    </i>
    <i r="1">
      <x v="5"/>
    </i>
    <i r="1">
      <x v="24"/>
    </i>
    <i r="1">
      <x v="25"/>
    </i>
    <i>
      <x v="18"/>
    </i>
    <i r="1">
      <x v="21"/>
    </i>
    <i>
      <x v="20"/>
    </i>
    <i r="1">
      <x v="38"/>
    </i>
    <i>
      <x v="21"/>
    </i>
    <i r="1">
      <x v="33"/>
    </i>
    <i>
      <x v="22"/>
    </i>
    <i r="1">
      <x v="40"/>
    </i>
    <i>
      <x v="23"/>
    </i>
    <i r="1">
      <x v="17"/>
    </i>
    <i>
      <x v="24"/>
    </i>
    <i r="1">
      <x v="18"/>
    </i>
    <i r="1">
      <x v="19"/>
    </i>
    <i>
      <x v="26"/>
    </i>
    <i r="1">
      <x v="49"/>
    </i>
    <i>
      <x v="27"/>
    </i>
    <i r="1">
      <x v="23"/>
    </i>
    <i>
      <x v="28"/>
    </i>
    <i r="1">
      <x v="26"/>
    </i>
    <i>
      <x v="31"/>
    </i>
    <i r="1">
      <x v="16"/>
    </i>
    <i r="1">
      <x v="44"/>
    </i>
    <i>
      <x v="35"/>
    </i>
    <i r="1">
      <x v="34"/>
    </i>
    <i>
      <x v="36"/>
    </i>
    <i r="1">
      <x v="15"/>
    </i>
    <i r="1">
      <x v="35"/>
    </i>
    <i>
      <x v="37"/>
    </i>
    <i r="1">
      <x v="1"/>
    </i>
    <i r="1">
      <x v="27"/>
    </i>
    <i r="1">
      <x v="29"/>
    </i>
    <i r="1">
      <x v="30"/>
    </i>
    <i r="1">
      <x v="36"/>
    </i>
    <i r="1">
      <x v="50"/>
    </i>
    <i>
      <x v="38"/>
    </i>
    <i r="1">
      <x v="37"/>
    </i>
    <i>
      <x v="39"/>
    </i>
    <i r="1">
      <x v="46"/>
    </i>
    <i>
      <x v="40"/>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8"/>
          </reference>
          <reference field="1" count="1">
            <x v="43"/>
          </reference>
        </references>
      </pivotArea>
    </format>
    <format dxfId="424">
      <pivotArea dataOnly="0" labelOnly="1" fieldPosition="0">
        <references count="2">
          <reference field="0" count="1" selected="0">
            <x v="10"/>
          </reference>
          <reference field="1" count="1">
            <x v="7"/>
          </reference>
        </references>
      </pivotArea>
    </format>
    <format dxfId="423">
      <pivotArea dataOnly="0" labelOnly="1" fieldPosition="0">
        <references count="2">
          <reference field="0" count="1" selected="0">
            <x v="11"/>
          </reference>
          <reference field="1" count="1">
            <x v="8"/>
          </reference>
        </references>
      </pivotArea>
    </format>
    <format dxfId="422">
      <pivotArea dataOnly="0" labelOnly="1" fieldPosition="0">
        <references count="2">
          <reference field="0" count="1" selected="0">
            <x v="12"/>
          </reference>
          <reference field="1" count="1">
            <x v="9"/>
          </reference>
        </references>
      </pivotArea>
    </format>
    <format dxfId="421">
      <pivotArea dataOnly="0" labelOnly="1" fieldPosition="0">
        <references count="2">
          <reference field="0" count="1" selected="0">
            <x v="14"/>
          </reference>
          <reference field="1" count="1">
            <x v="10"/>
          </reference>
        </references>
      </pivotArea>
    </format>
    <format dxfId="420">
      <pivotArea dataOnly="0" labelOnly="1" fieldPosition="0">
        <references count="2">
          <reference field="0" count="1" selected="0">
            <x v="15"/>
          </reference>
          <reference field="1" count="1">
            <x v="13"/>
          </reference>
        </references>
      </pivotArea>
    </format>
    <format dxfId="419">
      <pivotArea dataOnly="0" labelOnly="1" fieldPosition="0">
        <references count="2">
          <reference field="0" count="1" selected="0">
            <x v="17"/>
          </reference>
          <reference field="1" count="4">
            <x v="3"/>
            <x v="5"/>
            <x v="24"/>
            <x v="25"/>
          </reference>
        </references>
      </pivotArea>
    </format>
    <format dxfId="418">
      <pivotArea dataOnly="0" labelOnly="1" fieldPosition="0">
        <references count="2">
          <reference field="0" count="1" selected="0">
            <x v="18"/>
          </reference>
          <reference field="1" count="1">
            <x v="21"/>
          </reference>
        </references>
      </pivotArea>
    </format>
    <format dxfId="417">
      <pivotArea dataOnly="0" labelOnly="1" fieldPosition="0">
        <references count="2">
          <reference field="0" count="1" selected="0">
            <x v="21"/>
          </reference>
          <reference field="1" count="1">
            <x v="33"/>
          </reference>
        </references>
      </pivotArea>
    </format>
    <format dxfId="416">
      <pivotArea dataOnly="0" labelOnly="1" fieldPosition="0">
        <references count="2">
          <reference field="0" count="1" selected="0">
            <x v="22"/>
          </reference>
          <reference field="1" count="1">
            <x v="40"/>
          </reference>
        </references>
      </pivotArea>
    </format>
    <format dxfId="415">
      <pivotArea dataOnly="0" labelOnly="1" fieldPosition="0">
        <references count="2">
          <reference field="0" count="1" selected="0">
            <x v="23"/>
          </reference>
          <reference field="1" count="1">
            <x v="17"/>
          </reference>
        </references>
      </pivotArea>
    </format>
    <format dxfId="414">
      <pivotArea dataOnly="0" labelOnly="1" fieldPosition="0">
        <references count="2">
          <reference field="0" count="1" selected="0">
            <x v="24"/>
          </reference>
          <reference field="1" count="2">
            <x v="18"/>
            <x v="19"/>
          </reference>
        </references>
      </pivotArea>
    </format>
    <format dxfId="413">
      <pivotArea dataOnly="0" labelOnly="1" fieldPosition="0">
        <references count="2">
          <reference field="0" count="1" selected="0">
            <x v="25"/>
          </reference>
          <reference field="1" count="1">
            <x v="22"/>
          </reference>
        </references>
      </pivotArea>
    </format>
    <format dxfId="412">
      <pivotArea dataOnly="0" labelOnly="1" fieldPosition="0">
        <references count="2">
          <reference field="0" count="1" selected="0">
            <x v="27"/>
          </reference>
          <reference field="1" count="1">
            <x v="23"/>
          </reference>
        </references>
      </pivotArea>
    </format>
    <format dxfId="411">
      <pivotArea dataOnly="0" labelOnly="1" fieldPosition="0">
        <references count="2">
          <reference field="0" count="1" selected="0">
            <x v="28"/>
          </reference>
          <reference field="1" count="1">
            <x v="26"/>
          </reference>
        </references>
      </pivotArea>
    </format>
    <format dxfId="410">
      <pivotArea dataOnly="0" labelOnly="1" fieldPosition="0">
        <references count="2">
          <reference field="0" count="1" selected="0">
            <x v="29"/>
          </reference>
          <reference field="1" count="3">
            <x v="4"/>
            <x v="28"/>
            <x v="42"/>
          </reference>
        </references>
      </pivotArea>
    </format>
    <format dxfId="409">
      <pivotArea dataOnly="0" labelOnly="1" fieldPosition="0">
        <references count="2">
          <reference field="0" count="1" selected="0">
            <x v="31"/>
          </reference>
          <reference field="1" count="1">
            <x v="16"/>
          </reference>
        </references>
      </pivotArea>
    </format>
    <format dxfId="408">
      <pivotArea dataOnly="0" labelOnly="1" fieldPosition="0">
        <references count="2">
          <reference field="0" count="1" selected="0">
            <x v="33"/>
          </reference>
          <reference field="1" count="1">
            <x v="32"/>
          </reference>
        </references>
      </pivotArea>
    </format>
    <format dxfId="407">
      <pivotArea dataOnly="0" labelOnly="1" fieldPosition="0">
        <references count="2">
          <reference field="0" count="1" selected="0">
            <x v="35"/>
          </reference>
          <reference field="1" count="1">
            <x v="34"/>
          </reference>
        </references>
      </pivotArea>
    </format>
    <format dxfId="406">
      <pivotArea dataOnly="0" labelOnly="1" fieldPosition="0">
        <references count="2">
          <reference field="0" count="1" selected="0">
            <x v="36"/>
          </reference>
          <reference field="1" count="2">
            <x v="15"/>
            <x v="35"/>
          </reference>
        </references>
      </pivotArea>
    </format>
    <format dxfId="405">
      <pivotArea dataOnly="0" labelOnly="1" fieldPosition="0">
        <references count="2">
          <reference field="0" count="1" selected="0">
            <x v="37"/>
          </reference>
          <reference field="1" count="5">
            <x v="1"/>
            <x v="27"/>
            <x v="29"/>
            <x v="30"/>
            <x v="36"/>
          </reference>
        </references>
      </pivotArea>
    </format>
    <format dxfId="404">
      <pivotArea dataOnly="0" labelOnly="1" fieldPosition="0">
        <references count="2">
          <reference field="0" count="1" selected="0">
            <x v="38"/>
          </reference>
          <reference field="1" count="2">
            <x v="26"/>
            <x v="37"/>
          </reference>
        </references>
      </pivotArea>
    </format>
    <format dxfId="403">
      <pivotArea dataOnly="0" labelOnly="1" fieldPosition="0">
        <references count="2">
          <reference field="0" count="1" selected="0">
            <x v="40"/>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8"/>
          </reference>
          <reference field="1" count="1">
            <x v="43"/>
          </reference>
        </references>
      </pivotArea>
    </format>
    <format dxfId="391">
      <pivotArea dataOnly="0" labelOnly="1" fieldPosition="0">
        <references count="2">
          <reference field="0" count="1" selected="0">
            <x v="10"/>
          </reference>
          <reference field="1" count="1">
            <x v="7"/>
          </reference>
        </references>
      </pivotArea>
    </format>
    <format dxfId="390">
      <pivotArea dataOnly="0" labelOnly="1" fieldPosition="0">
        <references count="2">
          <reference field="0" count="1" selected="0">
            <x v="11"/>
          </reference>
          <reference field="1" count="1">
            <x v="8"/>
          </reference>
        </references>
      </pivotArea>
    </format>
    <format dxfId="389">
      <pivotArea dataOnly="0" labelOnly="1" fieldPosition="0">
        <references count="2">
          <reference field="0" count="1" selected="0">
            <x v="12"/>
          </reference>
          <reference field="1" count="1">
            <x v="9"/>
          </reference>
        </references>
      </pivotArea>
    </format>
    <format dxfId="388">
      <pivotArea dataOnly="0" labelOnly="1" fieldPosition="0">
        <references count="2">
          <reference field="0" count="1" selected="0">
            <x v="14"/>
          </reference>
          <reference field="1" count="1">
            <x v="10"/>
          </reference>
        </references>
      </pivotArea>
    </format>
    <format dxfId="387">
      <pivotArea dataOnly="0" labelOnly="1" fieldPosition="0">
        <references count="2">
          <reference field="0" count="1" selected="0">
            <x v="15"/>
          </reference>
          <reference field="1" count="1">
            <x v="13"/>
          </reference>
        </references>
      </pivotArea>
    </format>
    <format dxfId="386">
      <pivotArea dataOnly="0" labelOnly="1" fieldPosition="0">
        <references count="2">
          <reference field="0" count="1" selected="0">
            <x v="17"/>
          </reference>
          <reference field="1" count="4">
            <x v="3"/>
            <x v="5"/>
            <x v="24"/>
            <x v="25"/>
          </reference>
        </references>
      </pivotArea>
    </format>
    <format dxfId="385">
      <pivotArea dataOnly="0" labelOnly="1" fieldPosition="0">
        <references count="2">
          <reference field="0" count="1" selected="0">
            <x v="18"/>
          </reference>
          <reference field="1" count="1">
            <x v="21"/>
          </reference>
        </references>
      </pivotArea>
    </format>
    <format dxfId="384">
      <pivotArea dataOnly="0" labelOnly="1" fieldPosition="0">
        <references count="2">
          <reference field="0" count="1" selected="0">
            <x v="21"/>
          </reference>
          <reference field="1" count="1">
            <x v="33"/>
          </reference>
        </references>
      </pivotArea>
    </format>
    <format dxfId="383">
      <pivotArea dataOnly="0" labelOnly="1" fieldPosition="0">
        <references count="2">
          <reference field="0" count="1" selected="0">
            <x v="22"/>
          </reference>
          <reference field="1" count="1">
            <x v="40"/>
          </reference>
        </references>
      </pivotArea>
    </format>
    <format dxfId="382">
      <pivotArea dataOnly="0" labelOnly="1" fieldPosition="0">
        <references count="2">
          <reference field="0" count="1" selected="0">
            <x v="23"/>
          </reference>
          <reference field="1" count="1">
            <x v="17"/>
          </reference>
        </references>
      </pivotArea>
    </format>
    <format dxfId="381">
      <pivotArea dataOnly="0" labelOnly="1" fieldPosition="0">
        <references count="2">
          <reference field="0" count="1" selected="0">
            <x v="24"/>
          </reference>
          <reference field="1" count="2">
            <x v="18"/>
            <x v="19"/>
          </reference>
        </references>
      </pivotArea>
    </format>
    <format dxfId="380">
      <pivotArea dataOnly="0" labelOnly="1" fieldPosition="0">
        <references count="2">
          <reference field="0" count="1" selected="0">
            <x v="25"/>
          </reference>
          <reference field="1" count="1">
            <x v="22"/>
          </reference>
        </references>
      </pivotArea>
    </format>
    <format dxfId="379">
      <pivotArea dataOnly="0" labelOnly="1" fieldPosition="0">
        <references count="2">
          <reference field="0" count="1" selected="0">
            <x v="27"/>
          </reference>
          <reference field="1" count="1">
            <x v="23"/>
          </reference>
        </references>
      </pivotArea>
    </format>
    <format dxfId="378">
      <pivotArea dataOnly="0" labelOnly="1" fieldPosition="0">
        <references count="2">
          <reference field="0" count="1" selected="0">
            <x v="28"/>
          </reference>
          <reference field="1" count="1">
            <x v="26"/>
          </reference>
        </references>
      </pivotArea>
    </format>
    <format dxfId="377">
      <pivotArea dataOnly="0" labelOnly="1" fieldPosition="0">
        <references count="2">
          <reference field="0" count="1" selected="0">
            <x v="29"/>
          </reference>
          <reference field="1" count="3">
            <x v="4"/>
            <x v="28"/>
            <x v="42"/>
          </reference>
        </references>
      </pivotArea>
    </format>
    <format dxfId="376">
      <pivotArea dataOnly="0" labelOnly="1" fieldPosition="0">
        <references count="2">
          <reference field="0" count="1" selected="0">
            <x v="31"/>
          </reference>
          <reference field="1" count="1">
            <x v="16"/>
          </reference>
        </references>
      </pivotArea>
    </format>
    <format dxfId="375">
      <pivotArea dataOnly="0" labelOnly="1" fieldPosition="0">
        <references count="2">
          <reference field="0" count="1" selected="0">
            <x v="33"/>
          </reference>
          <reference field="1" count="1">
            <x v="32"/>
          </reference>
        </references>
      </pivotArea>
    </format>
    <format dxfId="374">
      <pivotArea dataOnly="0" labelOnly="1" fieldPosition="0">
        <references count="2">
          <reference field="0" count="1" selected="0">
            <x v="35"/>
          </reference>
          <reference field="1" count="1">
            <x v="34"/>
          </reference>
        </references>
      </pivotArea>
    </format>
    <format dxfId="373">
      <pivotArea dataOnly="0" labelOnly="1" fieldPosition="0">
        <references count="2">
          <reference field="0" count="1" selected="0">
            <x v="36"/>
          </reference>
          <reference field="1" count="2">
            <x v="15"/>
            <x v="35"/>
          </reference>
        </references>
      </pivotArea>
    </format>
    <format dxfId="372">
      <pivotArea dataOnly="0" labelOnly="1" fieldPosition="0">
        <references count="2">
          <reference field="0" count="1" selected="0">
            <x v="37"/>
          </reference>
          <reference field="1" count="5">
            <x v="1"/>
            <x v="27"/>
            <x v="29"/>
            <x v="30"/>
            <x v="36"/>
          </reference>
        </references>
      </pivotArea>
    </format>
    <format dxfId="371">
      <pivotArea dataOnly="0" labelOnly="1" fieldPosition="0">
        <references count="2">
          <reference field="0" count="1" selected="0">
            <x v="38"/>
          </reference>
          <reference field="1" count="2">
            <x v="26"/>
            <x v="37"/>
          </reference>
        </references>
      </pivotArea>
    </format>
    <format dxfId="370">
      <pivotArea dataOnly="0" labelOnly="1" fieldPosition="0">
        <references count="2">
          <reference field="0" count="1" selected="0">
            <x v="40"/>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1" cacheId="1"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2000000}" name="PivotTable3" cacheId="2"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0" firstHeaderRow="0" firstDataRow="1" firstDataCol="2"/>
  <pivotFields count="15">
    <pivotField axis="axisRow" compact="0" subtotalTop="0" showAll="0" insertBlankRow="1" defaultSubtotal="0">
      <items count="12">
        <item m="1" x="10"/>
        <item m="1" x="7"/>
        <item m="1" x="8"/>
        <item x="0"/>
        <item m="1" x="11"/>
        <item x="1"/>
        <item m="1" x="9"/>
        <item x="3"/>
        <item x="2"/>
        <item x="4"/>
        <item x="5"/>
        <item x="6"/>
      </items>
    </pivotField>
    <pivotField axis="axisRow" subtotalTop="0" showAll="0" sortType="descending" defaultSubtotal="0">
      <items count="5">
        <item x="1"/>
        <item x="0"/>
        <item m="1" x="2"/>
        <item m="1" x="4"/>
        <item m="1" x="3"/>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24">
    <i>
      <x v="3"/>
    </i>
    <i r="1">
      <x v="1"/>
    </i>
    <i t="blank">
      <x v="3"/>
    </i>
    <i>
      <x v="5"/>
    </i>
    <i r="1">
      <x v="1"/>
    </i>
    <i t="blank">
      <x v="5"/>
    </i>
    <i>
      <x v="7"/>
    </i>
    <i r="1">
      <x v="1"/>
    </i>
    <i t="blank">
      <x v="7"/>
    </i>
    <i>
      <x v="8"/>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3"/>
          </reference>
        </references>
      </pivotArea>
    </format>
    <format dxfId="31">
      <pivotArea dataOnly="0" labelOnly="1" fieldPosition="0">
        <references count="2">
          <reference field="0" count="1" selected="0">
            <x v="0"/>
          </reference>
          <reference field="1" count="1">
            <x v="3"/>
          </reference>
        </references>
      </pivotArea>
    </format>
    <format dxfId="30">
      <pivotArea dataOnly="0" labelOnly="1" fieldPosition="0">
        <references count="2">
          <reference field="0" count="1" selected="0">
            <x v="0"/>
          </reference>
          <reference field="1" count="1">
            <x v="3"/>
          </reference>
        </references>
      </pivotArea>
    </format>
    <format dxfId="29">
      <pivotArea dataOnly="0" labelOnly="1" fieldPosition="0">
        <references count="2">
          <reference field="0" count="1" selected="0">
            <x v="0"/>
          </reference>
          <reference field="1" count="1">
            <x v="3"/>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3"/>
          </reference>
        </references>
      </pivotArea>
    </format>
    <format dxfId="24">
      <pivotArea dataOnly="0" labelOnly="1" fieldPosition="0">
        <references count="2">
          <reference field="0" count="1" selected="0">
            <x v="1"/>
          </reference>
          <reference field="1" count="1">
            <x v="3"/>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3"/>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3"/>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0"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4" tableType="queryTable" totalsRowCount="1" headerRowDxfId="116" dataDxfId="115" totalsRowDxfId="114">
  <autoFilter ref="A7:I13"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0"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18"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1"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12"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39" tableType="queryTable" totalsRowCount="1" headerRowDxfId="343" dataDxfId="342" totalsRowDxfId="341">
  <autoFilter ref="A41:M238"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37" tableType="queryTable" totalsRowCount="1" headerRowDxfId="314" dataDxfId="313" totalsRowDxfId="312">
  <autoFilter ref="A39:M236"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36">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38" tableType="queryTable" totalsRowCount="1" headerRowDxfId="285" dataDxfId="284" totalsRowDxfId="283">
  <autoFilter ref="A40:M237"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37">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10:K18"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(B11/$B$19)*100</calculatedColumnFormula>
    </tableColumn>
    <tableColumn id="7" xr3:uid="{00000000-0010-0000-0800-000007000000}" uniqueName="7" name="Column2" queryTableFieldId="7" dataDxfId="246" totalsRowDxfId="245">
      <calculatedColumnFormula>(C11/$C$19)*100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(F11/$F$19)*100</calculatedColumnFormula>
    </tableColumn>
    <tableColumn id="9" xr3:uid="{00000000-0010-0000-0800-000009000000}" uniqueName="9" name="Column4" queryTableFieldId="9" dataDxfId="239">
      <calculatedColumnFormula>(G11/$G$19)*100</calculatedColumnFormula>
    </tableColumn>
    <tableColumn id="10" xr3:uid="{00000000-0010-0000-0800-00000A000000}" uniqueName="10" name="Column5" queryTableFieldId="10" dataDxfId="238">
      <calculatedColumnFormula>((( B11  / C11) - 1) * 100)</calculatedColumnFormula>
    </tableColumn>
    <tableColumn id="11" xr3:uid="{00000000-0010-0000-0800-00000B000000}" uniqueName="11" name="Column6" queryTableFieldId="11" dataDxfId="237">
      <calculatedColumnFormula>((( F11  / G11)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3" tableType="queryTable" totalsRowCount="1" headerRowDxfId="236" dataDxfId="235" totalsRowDxfId="234">
  <autoFilter ref="A8:Q62"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28" tableType="queryTable" totalsRowCount="1" headerRowDxfId="164" dataDxfId="163" totalsRowDxfId="162">
  <autoFilter ref="A7:I27"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O26" sqref="O26"/>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9" width="10.1640625" customWidth="1"/>
    <col min="10" max="10" width="5.1640625" customWidth="1"/>
    <col min="12" max="12" width="9.5" bestFit="1" customWidth="1"/>
    <col min="15" max="15" width="10.33203125" bestFit="1" customWidth="1"/>
  </cols>
  <sheetData>
    <row r="5" spans="1:17">
      <c r="B5" s="1"/>
    </row>
    <row r="7" spans="1:17" ht="19.25" customHeight="1" thickBot="1">
      <c r="A7" s="25"/>
      <c r="B7" s="56" t="s">
        <v>440</v>
      </c>
      <c r="C7" s="56"/>
      <c r="D7" s="56"/>
      <c r="E7" s="56"/>
      <c r="F7" s="56"/>
      <c r="G7" s="56"/>
      <c r="H7" s="223" t="s">
        <v>1136</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5" t="s">
        <v>539</v>
      </c>
      <c r="D10" s="225"/>
      <c r="E10" s="225"/>
      <c r="F10" s="225"/>
      <c r="G10" s="225"/>
      <c r="H10" s="225"/>
      <c r="I10" s="225"/>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2024-01</v>
      </c>
      <c r="G12" s="39" t="str">
        <f>D80</f>
        <v xml:space="preserve"> 2023-01</v>
      </c>
      <c r="H12" s="226" t="s">
        <v>924</v>
      </c>
      <c r="I12" s="226"/>
    </row>
    <row r="13" spans="1:17" ht="14" customHeight="1">
      <c r="A13" s="25"/>
      <c r="B13" s="38" t="s">
        <v>536</v>
      </c>
      <c r="C13" s="25"/>
      <c r="D13" s="25"/>
      <c r="E13" s="25"/>
      <c r="F13" s="25"/>
      <c r="G13" s="25"/>
      <c r="H13" s="169" t="s">
        <v>328</v>
      </c>
      <c r="I13" s="169" t="s">
        <v>499</v>
      </c>
      <c r="P13" s="213"/>
      <c r="Q13" s="213"/>
    </row>
    <row r="14" spans="1:17" ht="14" customHeight="1">
      <c r="A14" s="25"/>
      <c r="B14" s="41" t="s">
        <v>915</v>
      </c>
      <c r="C14" s="25"/>
      <c r="D14" s="25"/>
      <c r="E14" s="25"/>
      <c r="F14" s="25">
        <f>INDEX('A.4 Drivmedel PB'!$B$8:$B$16,MATCH("El",'A.4 Drivmedel PB'!$A$8:$A$16,0))</f>
        <v>4936</v>
      </c>
      <c r="G14" s="25">
        <f>INDEX('A.4 Drivmedel PB'!$C$8:$C$16,MATCH("El",'A.4 Drivmedel PB'!$A$8:$A$16,0))</f>
        <v>4203</v>
      </c>
      <c r="H14" s="42">
        <f t="shared" ref="H14:H19" si="0">IF(G14=0,"",SUM(((F14-G14)/G14)))</f>
        <v>0.17439923863906734</v>
      </c>
      <c r="I14" s="42">
        <f>INDEX('A.4 Drivmedel PB'!$J$8:$J$16,MATCH("El",'A.4 Drivmedel PB'!$A$8:$A$16,0))</f>
        <v>0.17439923863906734</v>
      </c>
      <c r="P14" s="213"/>
      <c r="Q14" s="213"/>
    </row>
    <row r="15" spans="1:17" ht="14" customHeight="1">
      <c r="A15" s="25"/>
      <c r="B15" s="41" t="s">
        <v>916</v>
      </c>
      <c r="C15" s="25"/>
      <c r="D15" s="25"/>
      <c r="E15" s="25"/>
      <c r="F15" s="25">
        <f>INDEX('A.4 Drivmedel PB'!$B$8:$B$16,MATCH("Laddhybrid",'A.4 Drivmedel PB'!$A$8:$A$16,0))</f>
        <v>4072</v>
      </c>
      <c r="G15" s="25">
        <f>INDEX('A.4 Drivmedel PB'!$C$8:$C$16,MATCH("Laddhybrid",'A.4 Drivmedel PB'!$A$8:$A$16,0))</f>
        <v>3424</v>
      </c>
      <c r="H15" s="42">
        <f t="shared" si="0"/>
        <v>0.18925233644859812</v>
      </c>
      <c r="I15" s="42">
        <f>INDEX('A.4 Drivmedel PB'!$J$8:$J$16,MATCH("Laddhybrid",'A.4 Drivmedel PB'!$A$8:$A$16,0))</f>
        <v>0.18925233644859812</v>
      </c>
      <c r="P15" s="213"/>
      <c r="Q15" s="213"/>
    </row>
    <row r="16" spans="1:17" ht="14" customHeight="1">
      <c r="A16" s="25"/>
      <c r="B16" s="211" t="s">
        <v>918</v>
      </c>
      <c r="C16" s="212"/>
      <c r="D16" s="212"/>
      <c r="E16" s="212"/>
      <c r="F16" s="220">
        <f>INDEX('A.4 Drivmedel PB'!$D$8:$D$16,MATCH("El",'A.4 Drivmedel PB'!$A$8:$A$16,0))</f>
        <v>28.757865299463997</v>
      </c>
      <c r="G16" s="220">
        <f>INDEX('A.4 Drivmedel PB'!$E$8:$E$16,MATCH("El",'A.4 Drivmedel PB'!$A$8:$A$16,0))</f>
        <v>28.785699609615779</v>
      </c>
      <c r="H16" s="213">
        <f t="shared" si="0"/>
        <v>-9.6694923275319588E-4</v>
      </c>
      <c r="I16" s="218">
        <f>INDEX('A.4 Drivmedel PB'!$D$8:$D$16,MATCH("El",'A.4 Drivmedel PB'!$A$8:$A$16,0))</f>
        <v>28.757865299463997</v>
      </c>
      <c r="L16" s="217"/>
    </row>
    <row r="17" spans="1:15" ht="14" customHeight="1">
      <c r="A17" s="25"/>
      <c r="B17" s="211" t="s">
        <v>919</v>
      </c>
      <c r="C17" s="212"/>
      <c r="D17" s="212"/>
      <c r="E17" s="212"/>
      <c r="F17" s="220">
        <f>INDEX('A.4 Drivmedel PB'!$D$8:$D$16,MATCH("Laddhybrid",'A.4 Drivmedel PB'!$A$8:$A$16,0))</f>
        <v>23.724073642507573</v>
      </c>
      <c r="G17" s="220">
        <f>INDEX('A.4 Drivmedel PB'!$E$8:$E$16,MATCH("Laddhybrid",'A.4 Drivmedel PB'!$A$8:$A$16,0))</f>
        <v>23.450448599411001</v>
      </c>
      <c r="H17" s="213">
        <f t="shared" si="0"/>
        <v>1.1668222121066166E-2</v>
      </c>
      <c r="I17" s="218">
        <f>INDEX('A.4 Drivmedel PB'!$D$8:$D$16,MATCH("Laddhybrid",'A.4 Drivmedel PB'!$A$8:$A$16,0))</f>
        <v>23.724073642507573</v>
      </c>
    </row>
    <row r="18" spans="1:15" ht="14" customHeight="1">
      <c r="A18" s="25"/>
      <c r="B18" s="211" t="s">
        <v>920</v>
      </c>
      <c r="C18" s="212"/>
      <c r="D18" s="212"/>
      <c r="E18" s="212"/>
      <c r="F18" s="220">
        <f>F16+F17</f>
        <v>52.481938941971571</v>
      </c>
      <c r="G18" s="220">
        <f>(G16+G17)</f>
        <v>52.23614820902678</v>
      </c>
      <c r="H18" s="213">
        <f t="shared" si="0"/>
        <v>4.705376283895224E-3</v>
      </c>
      <c r="I18" s="214">
        <f>AndelLaddbaraYTD/100</f>
        <v>0.18091242789722078</v>
      </c>
    </row>
    <row r="19" spans="1:15" ht="14" customHeight="1">
      <c r="A19" s="25"/>
      <c r="B19" s="43" t="s">
        <v>534</v>
      </c>
      <c r="C19" s="44"/>
      <c r="D19" s="44"/>
      <c r="E19" s="44"/>
      <c r="F19" s="216">
        <f>getAggModelsPB[[#Totals],[antalPerioden]]</f>
        <v>17164</v>
      </c>
      <c r="G19" s="45">
        <f>getAggModelsPB[[#Totals],[antalFGPeriod]]</f>
        <v>14601</v>
      </c>
      <c r="H19" s="46">
        <f t="shared" si="0"/>
        <v>0.17553592219710978</v>
      </c>
      <c r="I19" s="42">
        <f>IF(AntalTotaltYTDFGAR=0,"",((AntalTotaltYTD-AntalTotaltYTDFGAR)/AntalTotaltYTDFGAR))</f>
        <v>0.17553592219710978</v>
      </c>
    </row>
    <row r="20" spans="1:15" ht="14" customHeight="1">
      <c r="A20" s="25"/>
      <c r="B20" s="25"/>
      <c r="C20" s="25"/>
      <c r="D20" s="25"/>
      <c r="E20" s="25"/>
      <c r="F20" s="25"/>
      <c r="G20" s="25"/>
      <c r="H20" s="25"/>
      <c r="I20" s="25"/>
    </row>
    <row r="21" spans="1:15" ht="14" customHeight="1">
      <c r="A21" s="25"/>
      <c r="B21" s="38" t="s">
        <v>537</v>
      </c>
      <c r="C21" s="25"/>
      <c r="D21" s="25"/>
      <c r="E21" s="25"/>
      <c r="F21" s="25"/>
      <c r="G21" s="25"/>
      <c r="H21" s="25"/>
      <c r="I21" s="25"/>
    </row>
    <row r="22" spans="1:15" ht="14" customHeight="1">
      <c r="A22" s="25"/>
      <c r="B22" s="41" t="s">
        <v>1055</v>
      </c>
      <c r="C22" s="25"/>
      <c r="D22" s="25"/>
      <c r="E22" s="25"/>
      <c r="F22" s="25">
        <f>INDEX('B. Lastbilar'!$B$6:$B$16,MATCH("Över (&gt;=)  16,0 ton",'B. Lastbilar'!$A$6:$A$16,0))</f>
        <v>349</v>
      </c>
      <c r="G22" s="25">
        <f>INDEX('B. Lastbilar'!$C$6:$C$16,MATCH("Över (&gt;=)  16,0 ton",'B. Lastbilar'!$A$6:$A$16,0))</f>
        <v>455</v>
      </c>
      <c r="H22" s="42">
        <f>IF(G22=0,"",SUM(((F22-G22)/G22)))</f>
        <v>-0.23296703296703297</v>
      </c>
      <c r="I22" s="42">
        <f>IF(AntalTLBYTDFGAR=0,"",((AntalTLBYTD-AntalTLBYTDFGAR)/AntalTLBYTDFGAR))</f>
        <v>-0.23296703296703297</v>
      </c>
    </row>
    <row r="23" spans="1:15" ht="14" customHeight="1">
      <c r="A23" s="25"/>
      <c r="B23" s="41" t="s">
        <v>1056</v>
      </c>
      <c r="C23" s="25"/>
      <c r="D23" s="25"/>
      <c r="E23" s="25"/>
      <c r="F23" s="25">
        <f>INDEX('B. Lastbilar'!$B$6:$B$16,MATCH("Högst (&lt;=)  3,5 ton",'B. Lastbilar'!$A$6:$A$16,0))</f>
        <v>2690</v>
      </c>
      <c r="G23" s="25">
        <f>INDEX('B. Lastbilar'!$C$6:$C$16,MATCH("Högst (&lt;=)  3,5 ton",'B. Lastbilar'!$A$6:$A$16,0))</f>
        <v>2356</v>
      </c>
      <c r="H23" s="42">
        <f>IF(G23=0,"",SUM(((F23-G23)/G23)))</f>
        <v>0.14176570458404075</v>
      </c>
      <c r="I23" s="42">
        <f>IF(AntalLLBYTDFGAR=0,"",((AntalLLBYTD-AntalLLBYTDFGAR)/AntalLLBYTDFGAR))</f>
        <v>0.14176570458404075</v>
      </c>
    </row>
    <row r="24" spans="1:15" ht="14" customHeight="1">
      <c r="A24" s="25"/>
      <c r="B24" s="41" t="s">
        <v>917</v>
      </c>
      <c r="C24" s="25"/>
      <c r="D24" s="25"/>
      <c r="E24" s="25"/>
      <c r="F24" s="25">
        <f>AntalLLBEL</f>
        <v>724</v>
      </c>
      <c r="G24" s="25">
        <f>AntalLLBELFGAR</f>
        <v>175</v>
      </c>
      <c r="H24" s="42">
        <f t="shared" ref="H24" si="1">IF(G24=0,"",SUM(((F24-G24)/G24)))</f>
        <v>3.137142857142857</v>
      </c>
      <c r="I24" s="42">
        <f>ChangeLLBELYTD/100</f>
        <v>3.137142857142857</v>
      </c>
    </row>
    <row r="25" spans="1:15" ht="14" customHeight="1">
      <c r="A25" s="25"/>
      <c r="B25" s="211" t="s">
        <v>921</v>
      </c>
      <c r="C25" s="212"/>
      <c r="D25" s="212"/>
      <c r="E25" s="212"/>
      <c r="F25" s="213">
        <f>(F24/F23)</f>
        <v>0.26914498141263943</v>
      </c>
      <c r="G25" s="213">
        <f>(G24/G23)</f>
        <v>7.4278438030560265E-2</v>
      </c>
      <c r="H25" s="213">
        <f>IF(G25=0,"",SUM(((F25-G25)/G25)))</f>
        <v>2.6234604354753057</v>
      </c>
      <c r="I25" s="214"/>
      <c r="O25" s="215"/>
    </row>
    <row r="26" spans="1:15" ht="14" customHeight="1">
      <c r="A26" s="25"/>
      <c r="B26" s="43" t="s">
        <v>923</v>
      </c>
      <c r="C26" s="44"/>
      <c r="D26" s="44"/>
      <c r="E26" s="44"/>
      <c r="F26" s="216">
        <f>GETPIVOTDATA("Sum of antalPerioden",'B. Lastbilar'!$A$7)</f>
        <v>3072</v>
      </c>
      <c r="G26" s="45">
        <f>GETPIVOTDATA("Sum of antalPeriodenFG",'B. Lastbilar'!$A$7)</f>
        <v>2851</v>
      </c>
      <c r="H26" s="46">
        <f>IF(G26=0,"",SUM(((F26-G26)/G26)))</f>
        <v>7.7516660820764638E-2</v>
      </c>
      <c r="I26" s="42">
        <f>IF(antalLBTotaltYTDFGAR=0,"",((AntalLBTotaltYTD-antalLBTotaltYTDFGAR)/antalLBTotaltYTDFGAR))</f>
        <v>7.7516660820764638E-2</v>
      </c>
    </row>
    <row r="27" spans="1:15" ht="14" customHeight="1">
      <c r="A27" s="25"/>
      <c r="B27" s="25"/>
      <c r="C27" s="25"/>
      <c r="D27" s="25"/>
      <c r="E27" s="25"/>
      <c r="F27" s="25"/>
      <c r="G27" s="25"/>
      <c r="H27" s="25"/>
      <c r="I27" s="25"/>
    </row>
    <row r="28" spans="1:15" ht="14" customHeight="1">
      <c r="A28" s="25"/>
      <c r="B28" s="38" t="s">
        <v>538</v>
      </c>
      <c r="C28" s="25"/>
      <c r="D28" s="25"/>
      <c r="E28" s="25"/>
      <c r="F28" s="25"/>
      <c r="G28" s="25"/>
      <c r="H28" s="25"/>
      <c r="I28" s="25"/>
    </row>
    <row r="29" spans="1:15" ht="14" customHeight="1">
      <c r="A29" s="25"/>
      <c r="B29" s="41" t="s">
        <v>914</v>
      </c>
      <c r="C29" s="25"/>
      <c r="D29" s="25"/>
      <c r="E29" s="25"/>
      <c r="F29" s="25">
        <f>AntalELBUSS</f>
        <v>4</v>
      </c>
      <c r="G29" s="25">
        <f>AntalELBUSSFGAR</f>
        <v>1</v>
      </c>
      <c r="H29" s="42">
        <f>IF(G29=0,"",SUM(((F29-G29)/G29)))</f>
        <v>3</v>
      </c>
      <c r="I29" s="42">
        <f>ChangeBUSSELYTD/100</f>
        <v>3</v>
      </c>
      <c r="K29" s="41"/>
    </row>
    <row r="30" spans="1:15" ht="14" customHeight="1">
      <c r="A30" s="25"/>
      <c r="B30" s="211" t="s">
        <v>922</v>
      </c>
      <c r="C30" s="212"/>
      <c r="D30" s="212"/>
      <c r="E30" s="212"/>
      <c r="F30" s="213">
        <f>(F29/F31)</f>
        <v>6.8965517241379309E-2</v>
      </c>
      <c r="G30" s="213">
        <f>(G29/G31)</f>
        <v>2.0833333333333332E-2</v>
      </c>
      <c r="H30" s="213">
        <f>IF(G30=0,"",SUM(((F30-G30)/G30)))</f>
        <v>2.3103448275862073</v>
      </c>
      <c r="I30" s="214"/>
    </row>
    <row r="31" spans="1:15" ht="14" customHeight="1">
      <c r="A31" s="25"/>
      <c r="B31" s="43" t="s">
        <v>535</v>
      </c>
      <c r="C31" s="43"/>
      <c r="D31" s="43"/>
      <c r="E31" s="43"/>
      <c r="F31" s="84">
        <f>getAggBussAll[[#Totals],[antalPerioden]]</f>
        <v>58</v>
      </c>
      <c r="G31" s="44">
        <f>getAggBussAll[[#Totals],[antalPeriodenFG]]</f>
        <v>48</v>
      </c>
      <c r="H31" s="46">
        <f>IF(G31=0,"",SUM(((F31-G31)/G31)))</f>
        <v>0.20833333333333334</v>
      </c>
      <c r="I31" s="42">
        <f>IF(AntalBUSSYTDFGAR=0,"",((AntalBUSSYTD-AntalBUSSYTDFGAR)/AntalBUSSYTDFGAR))</f>
        <v>0.20833333333333334</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413</v>
      </c>
      <c r="C36" s="47"/>
      <c r="D36" s="48"/>
      <c r="E36" s="48"/>
      <c r="F36" s="48"/>
      <c r="G36" s="25"/>
      <c r="H36" s="25"/>
      <c r="I36" s="25"/>
      <c r="J36" s="25"/>
    </row>
    <row r="37" spans="1:11" ht="18">
      <c r="A37" s="25"/>
      <c r="B37" s="49"/>
      <c r="C37" s="47" t="s">
        <v>414</v>
      </c>
      <c r="D37" s="48"/>
      <c r="E37" s="48"/>
      <c r="F37" s="48"/>
      <c r="G37" s="25"/>
      <c r="H37" s="25"/>
      <c r="I37" s="25"/>
      <c r="J37" s="25"/>
    </row>
    <row r="38" spans="1:11" ht="18">
      <c r="A38" s="25"/>
      <c r="B38" s="49"/>
      <c r="C38" s="47" t="s">
        <v>491</v>
      </c>
      <c r="D38" s="48"/>
      <c r="E38" s="48"/>
      <c r="F38" s="48"/>
      <c r="G38" s="25"/>
      <c r="H38" s="25"/>
      <c r="I38" s="25"/>
      <c r="J38" s="25"/>
    </row>
    <row r="39" spans="1:11" ht="18">
      <c r="A39" s="25"/>
      <c r="B39" s="49"/>
      <c r="C39" s="47" t="s">
        <v>433</v>
      </c>
      <c r="D39" s="48"/>
      <c r="E39" s="48"/>
      <c r="F39" s="48"/>
      <c r="G39" s="25"/>
      <c r="H39" s="25"/>
      <c r="I39" s="25"/>
      <c r="J39" s="25"/>
    </row>
    <row r="40" spans="1:11" ht="18">
      <c r="A40" s="25"/>
      <c r="B40" s="49"/>
      <c r="C40" s="47" t="s">
        <v>418</v>
      </c>
      <c r="D40" s="48"/>
      <c r="E40" s="48"/>
      <c r="F40" s="48"/>
      <c r="G40" s="25"/>
      <c r="H40" s="25"/>
      <c r="I40" s="25"/>
      <c r="J40" s="25"/>
    </row>
    <row r="41" spans="1:11" ht="18">
      <c r="A41" s="25"/>
      <c r="B41" s="49"/>
      <c r="C41" s="47" t="s">
        <v>419</v>
      </c>
      <c r="D41" s="48"/>
      <c r="E41" s="48"/>
      <c r="F41" s="48"/>
      <c r="G41" s="25"/>
      <c r="H41" s="25"/>
      <c r="I41" s="25"/>
      <c r="J41" s="25"/>
    </row>
    <row r="42" spans="1:11" ht="18">
      <c r="A42" s="25"/>
      <c r="B42" s="49"/>
      <c r="C42" s="47" t="s">
        <v>567</v>
      </c>
      <c r="D42" s="48"/>
      <c r="E42" s="48"/>
      <c r="F42" s="48"/>
      <c r="G42" s="25"/>
      <c r="H42" s="25"/>
      <c r="I42" s="25"/>
      <c r="J42" s="25"/>
    </row>
    <row r="43" spans="1:11" ht="18">
      <c r="A43" s="25"/>
      <c r="B43" s="49"/>
      <c r="C43" s="47" t="s">
        <v>568</v>
      </c>
      <c r="D43" s="48"/>
      <c r="E43" s="48"/>
      <c r="F43" s="48"/>
      <c r="G43" s="25"/>
      <c r="H43" s="25"/>
      <c r="I43" s="25"/>
      <c r="J43" s="25"/>
    </row>
    <row r="44" spans="1:11" ht="18">
      <c r="A44" s="25"/>
      <c r="B44" s="50"/>
      <c r="C44" s="47" t="s">
        <v>420</v>
      </c>
      <c r="D44" s="48"/>
      <c r="E44" s="48"/>
      <c r="F44" s="48"/>
      <c r="G44" s="51" t="s">
        <v>1188</v>
      </c>
      <c r="H44" s="25"/>
      <c r="I44" s="25"/>
      <c r="J44" s="25"/>
    </row>
    <row r="45" spans="1:11" ht="18">
      <c r="A45" s="25"/>
      <c r="B45" s="50"/>
      <c r="C45" s="47" t="s">
        <v>496</v>
      </c>
      <c r="D45" s="48"/>
      <c r="E45" s="48"/>
      <c r="F45" s="48"/>
      <c r="G45" s="48"/>
      <c r="H45" s="48"/>
      <c r="I45" s="48"/>
      <c r="J45" s="25"/>
    </row>
    <row r="46" spans="1:11" ht="18">
      <c r="A46" s="25"/>
      <c r="B46" s="50"/>
      <c r="C46" s="47" t="s">
        <v>497</v>
      </c>
      <c r="D46" s="48"/>
      <c r="E46" s="48"/>
      <c r="F46" s="48"/>
      <c r="G46" s="25"/>
      <c r="H46" s="25"/>
      <c r="I46" s="25"/>
      <c r="J46" s="25"/>
    </row>
    <row r="47" spans="1:11" ht="18">
      <c r="A47" s="25"/>
      <c r="B47" s="50"/>
      <c r="C47" s="50"/>
      <c r="D47" s="48"/>
      <c r="E47" s="48"/>
      <c r="F47" s="25"/>
      <c r="G47" s="25"/>
      <c r="H47" s="25"/>
      <c r="I47" s="25"/>
      <c r="J47" s="25"/>
    </row>
    <row r="48" spans="1:11" ht="18">
      <c r="A48" s="25"/>
      <c r="B48" s="47" t="s">
        <v>415</v>
      </c>
      <c r="C48" s="47"/>
      <c r="D48" s="47"/>
      <c r="E48" s="47"/>
      <c r="F48" s="47"/>
      <c r="G48" s="51"/>
      <c r="H48" s="51"/>
      <c r="I48" s="51"/>
      <c r="J48" s="51"/>
      <c r="K48" s="17"/>
    </row>
    <row r="49" spans="1:11" ht="18">
      <c r="A49" s="25"/>
      <c r="B49" s="50"/>
      <c r="C49" s="47" t="s">
        <v>492</v>
      </c>
      <c r="D49" s="47"/>
      <c r="E49" s="47"/>
      <c r="F49" s="47"/>
      <c r="G49" s="51"/>
      <c r="H49" s="51"/>
      <c r="I49" s="51"/>
      <c r="J49" s="51"/>
      <c r="K49" s="17"/>
    </row>
    <row r="50" spans="1:11" ht="18">
      <c r="A50" s="25"/>
      <c r="B50" s="50"/>
      <c r="C50" s="47" t="s">
        <v>347</v>
      </c>
      <c r="D50" s="47"/>
      <c r="E50" s="47"/>
      <c r="F50" s="47"/>
      <c r="G50" s="51"/>
      <c r="H50" s="51"/>
      <c r="I50" s="51"/>
      <c r="J50" s="51"/>
      <c r="K50" s="17"/>
    </row>
    <row r="51" spans="1:11" ht="18">
      <c r="A51" s="25"/>
      <c r="B51" s="50"/>
      <c r="C51" s="47" t="s">
        <v>286</v>
      </c>
      <c r="D51" s="47"/>
      <c r="E51" s="47"/>
      <c r="F51" s="47"/>
      <c r="G51" s="51"/>
      <c r="H51" s="51"/>
      <c r="I51" s="51"/>
      <c r="J51" s="51"/>
      <c r="K51" s="17"/>
    </row>
    <row r="52" spans="1:11" ht="18">
      <c r="A52" s="25"/>
      <c r="B52" s="50"/>
      <c r="C52" s="47" t="s">
        <v>493</v>
      </c>
      <c r="D52" s="47"/>
      <c r="E52" s="47"/>
      <c r="F52" s="47"/>
      <c r="G52" s="51"/>
      <c r="H52" s="51"/>
      <c r="I52" s="51"/>
      <c r="J52" s="51"/>
      <c r="K52" s="17"/>
    </row>
    <row r="53" spans="1:11" ht="18">
      <c r="A53" s="25"/>
      <c r="B53" s="50"/>
      <c r="C53" s="47" t="s">
        <v>330</v>
      </c>
      <c r="D53" s="47"/>
      <c r="E53" s="47"/>
      <c r="F53" s="47"/>
      <c r="G53" s="25"/>
      <c r="H53" s="25"/>
      <c r="I53" s="25"/>
      <c r="J53" s="25"/>
    </row>
    <row r="54" spans="1:11" ht="18">
      <c r="A54" s="25"/>
      <c r="B54" s="52"/>
      <c r="C54" s="50"/>
      <c r="D54" s="47"/>
      <c r="E54" s="47"/>
      <c r="F54" s="49"/>
      <c r="G54" s="25"/>
      <c r="H54" s="25"/>
      <c r="I54" s="25"/>
      <c r="J54" s="25"/>
    </row>
    <row r="55" spans="1:11" ht="18">
      <c r="A55" s="25"/>
      <c r="B55" s="47" t="s">
        <v>416</v>
      </c>
      <c r="C55" s="47"/>
      <c r="D55" s="47"/>
      <c r="E55" s="47"/>
      <c r="F55" s="47"/>
      <c r="G55" s="25"/>
      <c r="H55" s="25"/>
      <c r="I55" s="25"/>
      <c r="J55" s="25"/>
    </row>
    <row r="56" spans="1:11" ht="18">
      <c r="A56" s="25"/>
      <c r="B56" s="50"/>
      <c r="C56" s="47" t="s">
        <v>287</v>
      </c>
      <c r="D56" s="47"/>
      <c r="E56" s="47"/>
      <c r="F56" s="47"/>
      <c r="G56" s="25"/>
      <c r="H56" s="25"/>
      <c r="I56" s="25"/>
      <c r="J56" s="25"/>
    </row>
    <row r="57" spans="1:11" ht="18">
      <c r="A57" s="25"/>
      <c r="B57" s="25"/>
      <c r="C57" s="47" t="s">
        <v>490</v>
      </c>
      <c r="D57" s="48"/>
      <c r="E57" s="48"/>
      <c r="F57" s="48"/>
      <c r="G57" s="25"/>
      <c r="H57" s="25"/>
      <c r="I57" s="25"/>
      <c r="J57" s="25"/>
    </row>
    <row r="58" spans="1:11" ht="18">
      <c r="A58" s="25"/>
      <c r="B58" s="25"/>
      <c r="C58" s="47"/>
      <c r="D58" s="25"/>
      <c r="E58" s="25"/>
      <c r="F58" s="25"/>
      <c r="G58" s="25"/>
      <c r="H58" s="25"/>
      <c r="I58" s="25"/>
      <c r="J58" s="25"/>
    </row>
    <row r="59" spans="1:11">
      <c r="A59" s="25"/>
      <c r="B59" s="53" t="s">
        <v>617</v>
      </c>
      <c r="C59" s="25"/>
      <c r="D59" s="25"/>
      <c r="E59" s="25"/>
      <c r="F59" s="25"/>
      <c r="G59" s="25"/>
      <c r="H59" s="25"/>
      <c r="I59" s="25"/>
      <c r="J59" s="25"/>
    </row>
    <row r="60" spans="1:11">
      <c r="A60" s="25"/>
      <c r="B60" s="54"/>
      <c r="C60" s="25"/>
      <c r="D60" s="25"/>
      <c r="E60" s="25"/>
      <c r="F60" s="25"/>
      <c r="G60" s="25"/>
      <c r="H60" s="25"/>
      <c r="I60" s="25"/>
      <c r="J60" s="25"/>
    </row>
    <row r="61" spans="1:11">
      <c r="A61" s="25"/>
      <c r="B61" s="55" t="s">
        <v>621</v>
      </c>
      <c r="C61" s="48"/>
      <c r="D61" s="48"/>
      <c r="E61" s="48"/>
      <c r="F61" s="48"/>
      <c r="G61" s="25"/>
      <c r="H61" s="25"/>
      <c r="I61" s="25"/>
      <c r="J61" s="25"/>
    </row>
    <row r="62" spans="1:11">
      <c r="A62" s="25"/>
      <c r="B62" s="55" t="s">
        <v>494</v>
      </c>
      <c r="C62" s="25"/>
      <c r="D62" s="25"/>
      <c r="E62" s="25"/>
      <c r="F62" s="25"/>
      <c r="G62" s="25"/>
      <c r="H62" s="25"/>
      <c r="I62" s="25"/>
      <c r="J62" s="25"/>
    </row>
    <row r="63" spans="1:11">
      <c r="A63" s="25"/>
      <c r="B63" s="51"/>
      <c r="C63" s="25"/>
      <c r="D63" s="25"/>
      <c r="E63" s="25"/>
      <c r="F63" s="25"/>
      <c r="G63" s="25"/>
      <c r="H63" s="25"/>
      <c r="I63" s="25"/>
      <c r="J63" s="25"/>
    </row>
    <row r="64" spans="1:11">
      <c r="A64" s="25"/>
      <c r="B64" s="20" t="s">
        <v>495</v>
      </c>
      <c r="C64" s="51"/>
      <c r="D64" s="51"/>
      <c r="E64" s="51"/>
      <c r="F64" s="51"/>
      <c r="G64" s="25"/>
      <c r="H64" s="25"/>
      <c r="I64" s="25"/>
      <c r="J64" s="25"/>
    </row>
    <row r="65" spans="1:10">
      <c r="A65" s="25"/>
      <c r="B65" s="7" t="s">
        <v>618</v>
      </c>
      <c r="C65" s="51"/>
      <c r="D65" s="51"/>
      <c r="E65" s="51"/>
      <c r="F65" s="51"/>
      <c r="G65" s="25"/>
      <c r="H65" s="25"/>
      <c r="I65" s="25"/>
      <c r="J65" s="25"/>
    </row>
    <row r="66" spans="1:10">
      <c r="A66" s="25"/>
      <c r="B66" s="7" t="s">
        <v>443</v>
      </c>
      <c r="C66" s="51"/>
      <c r="D66" s="51"/>
      <c r="E66" s="51"/>
      <c r="F66" s="51"/>
      <c r="G66" s="25"/>
      <c r="H66" s="25"/>
      <c r="I66" s="25"/>
      <c r="J66" s="25"/>
    </row>
    <row r="67" spans="1:10">
      <c r="A67" s="25"/>
      <c r="B67" s="7" t="s">
        <v>444</v>
      </c>
      <c r="C67" s="51"/>
      <c r="D67" s="51"/>
      <c r="E67" s="51"/>
      <c r="F67" s="51"/>
      <c r="G67" s="25"/>
      <c r="H67" s="25"/>
      <c r="I67" s="25"/>
      <c r="J67" s="25"/>
    </row>
    <row r="68" spans="1:10">
      <c r="A68" s="25"/>
      <c r="B68" s="7" t="s">
        <v>619</v>
      </c>
      <c r="C68" s="51"/>
      <c r="D68" s="51"/>
      <c r="E68" s="51"/>
      <c r="F68" s="51"/>
      <c r="G68" s="25"/>
      <c r="H68" s="25"/>
      <c r="I68" s="25"/>
      <c r="J68" s="25"/>
    </row>
    <row r="69" spans="1:10">
      <c r="A69" s="25"/>
      <c r="B69" s="7" t="s">
        <v>417</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336</v>
      </c>
      <c r="D74" s="167" t="s">
        <v>2</v>
      </c>
    </row>
    <row r="75" spans="1:10" hidden="1">
      <c r="A75" t="s">
        <v>328</v>
      </c>
      <c r="D75" s="167" t="s">
        <v>1128</v>
      </c>
    </row>
    <row r="76" spans="1:10" hidden="1">
      <c r="A76" t="s">
        <v>329</v>
      </c>
      <c r="D76" s="167" t="s">
        <v>1129</v>
      </c>
    </row>
    <row r="77" spans="1:10" hidden="1">
      <c r="A77" t="s">
        <v>326</v>
      </c>
      <c r="D77" s="167" t="s">
        <v>1137</v>
      </c>
    </row>
    <row r="78" spans="1:10" hidden="1">
      <c r="A78" t="s">
        <v>327</v>
      </c>
      <c r="D78" s="167" t="s">
        <v>1138</v>
      </c>
    </row>
    <row r="79" spans="1:10" hidden="1">
      <c r="A79" t="s">
        <v>322</v>
      </c>
      <c r="D79" s="167" t="s">
        <v>1130</v>
      </c>
    </row>
    <row r="80" spans="1:10" hidden="1">
      <c r="A80" t="s">
        <v>323</v>
      </c>
      <c r="D80" s="167" t="s">
        <v>1131</v>
      </c>
    </row>
    <row r="81" spans="1:4" hidden="1">
      <c r="A81" t="s">
        <v>324</v>
      </c>
      <c r="D81" s="167" t="s">
        <v>1132</v>
      </c>
    </row>
    <row r="82" spans="1:4" hidden="1">
      <c r="A82" t="s">
        <v>325</v>
      </c>
      <c r="D82" s="167" t="s">
        <v>986</v>
      </c>
    </row>
    <row r="83" spans="1:4" hidden="1">
      <c r="D83" s="25"/>
    </row>
    <row r="84" spans="1:4" hidden="1">
      <c r="A84" t="s">
        <v>325</v>
      </c>
      <c r="D84" s="167" t="s">
        <v>1133</v>
      </c>
    </row>
    <row r="85" spans="1:4" hidden="1">
      <c r="A85" t="s">
        <v>324</v>
      </c>
      <c r="D85" s="167" t="s">
        <v>1134</v>
      </c>
    </row>
    <row r="86" spans="1:4" hidden="1">
      <c r="D86" s="25"/>
    </row>
    <row r="87" spans="1:4" hidden="1">
      <c r="A87" t="s">
        <v>337</v>
      </c>
      <c r="D87" s="167" t="s">
        <v>1135</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5:Q45"/>
  <sheetViews>
    <sheetView workbookViewId="0">
      <selection activeCell="O16" sqref="O16"/>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5" spans="1:15" ht="19.25" customHeight="1" thickBot="1">
      <c r="A5" s="56" t="s">
        <v>334</v>
      </c>
      <c r="B5" s="56"/>
      <c r="C5" s="56"/>
      <c r="D5" s="56"/>
      <c r="E5" s="56"/>
      <c r="F5" s="56"/>
      <c r="G5"/>
    </row>
    <row r="7" spans="1:15">
      <c r="A7" s="61"/>
      <c r="B7" s="25"/>
      <c r="C7" s="61"/>
      <c r="D7" s="61"/>
      <c r="E7" s="79"/>
      <c r="F7" s="80"/>
      <c r="G7" s="256" t="s">
        <v>423</v>
      </c>
      <c r="H7" s="256"/>
      <c r="I7" s="256"/>
      <c r="J7" s="256"/>
      <c r="K7" s="256"/>
      <c r="L7" s="25"/>
    </row>
    <row r="8" spans="1:15">
      <c r="A8" s="95"/>
      <c r="B8" s="262" t="s">
        <v>500</v>
      </c>
      <c r="C8" s="263"/>
      <c r="D8" s="264" t="s">
        <v>502</v>
      </c>
      <c r="E8" s="265"/>
      <c r="F8" s="120" t="s">
        <v>500</v>
      </c>
      <c r="G8" s="121"/>
      <c r="H8" s="266" t="s">
        <v>502</v>
      </c>
      <c r="I8" s="267"/>
      <c r="J8" s="266" t="s">
        <v>501</v>
      </c>
      <c r="K8" s="267"/>
      <c r="L8" s="25"/>
    </row>
    <row r="9" spans="1:15">
      <c r="A9" s="95"/>
      <c r="B9" s="122" t="str">
        <f>Innehåll!D79</f>
        <v xml:space="preserve"> 2024-01</v>
      </c>
      <c r="C9" s="122" t="str">
        <f>Innehåll!D80</f>
        <v xml:space="preserve"> 2023-01</v>
      </c>
      <c r="D9" s="123" t="str">
        <f>B9</f>
        <v xml:space="preserve"> 2024-01</v>
      </c>
      <c r="E9" s="124" t="str">
        <f>C9</f>
        <v xml:space="preserve"> 2023-01</v>
      </c>
      <c r="F9" s="122" t="str">
        <f>Innehåll!D81</f>
        <v>YTD  2024</v>
      </c>
      <c r="G9" s="122" t="str">
        <f>Innehåll!D82</f>
        <v>YTD  2023</v>
      </c>
      <c r="H9" s="125" t="str">
        <f>F9</f>
        <v>YTD  2024</v>
      </c>
      <c r="I9" s="126" t="str">
        <f>G9</f>
        <v>YTD  2023</v>
      </c>
      <c r="J9" s="127" t="str">
        <f>B9</f>
        <v xml:space="preserve"> 2024-01</v>
      </c>
      <c r="K9" s="125" t="str">
        <f>F9</f>
        <v>YTD  2024</v>
      </c>
      <c r="L9" s="25"/>
    </row>
    <row r="10" spans="1:15" ht="15.25" hidden="1" customHeight="1">
      <c r="A10" s="61" t="s">
        <v>313</v>
      </c>
      <c r="B10" s="61" t="s">
        <v>26</v>
      </c>
      <c r="C10" s="61" t="s">
        <v>279</v>
      </c>
      <c r="D10" s="61" t="s">
        <v>314</v>
      </c>
      <c r="E10" s="61" t="s">
        <v>315</v>
      </c>
      <c r="F10" s="61" t="s">
        <v>280</v>
      </c>
      <c r="G10" s="61" t="s">
        <v>281</v>
      </c>
      <c r="H10" s="61" t="s">
        <v>316</v>
      </c>
      <c r="I10" s="61" t="s">
        <v>317</v>
      </c>
      <c r="J10" s="61" t="s">
        <v>318</v>
      </c>
      <c r="K10" s="61" t="s">
        <v>321</v>
      </c>
      <c r="L10" s="61"/>
      <c r="M10" s="8"/>
      <c r="N10" s="8"/>
      <c r="O10" s="8"/>
    </row>
    <row r="11" spans="1:15">
      <c r="A11" s="61" t="s">
        <v>901</v>
      </c>
      <c r="B11" s="61">
        <v>8998</v>
      </c>
      <c r="C11" s="61">
        <v>7535</v>
      </c>
      <c r="D11" s="79">
        <f t="shared" ref="D11:D18" si="0">(B11/$B$19)*100</f>
        <v>52.423677464460496</v>
      </c>
      <c r="E11" s="79">
        <f t="shared" ref="E11:E18" si="1">(C11/$C$19)*100</f>
        <v>51.606054379836998</v>
      </c>
      <c r="F11" s="61">
        <v>8998</v>
      </c>
      <c r="G11" s="61">
        <v>7535</v>
      </c>
      <c r="H11" s="79">
        <f t="shared" ref="H11:H18" si="2">(F11/$F$19)*100</f>
        <v>52.423677464460496</v>
      </c>
      <c r="I11" s="79">
        <f t="shared" ref="I11:I18" si="3">(G11/$G$19)*100</f>
        <v>51.606054379836998</v>
      </c>
      <c r="J11" s="58">
        <f t="shared" ref="J11:J18" si="4">((( B11  / C11) - 1) * 100)</f>
        <v>19.416058394160586</v>
      </c>
      <c r="K11" s="58">
        <f t="shared" ref="K11:K18" si="5">((( F11  / G11) - 1) * 100)</f>
        <v>19.416058394160586</v>
      </c>
      <c r="L11" s="61"/>
      <c r="M11" s="8"/>
      <c r="N11" s="8"/>
      <c r="O11" s="8"/>
    </row>
    <row r="12" spans="1:15">
      <c r="A12" s="61" t="s">
        <v>902</v>
      </c>
      <c r="B12" s="61">
        <v>53</v>
      </c>
      <c r="C12" s="61">
        <v>56</v>
      </c>
      <c r="D12" s="79">
        <f t="shared" si="0"/>
        <v>0.30878583080866928</v>
      </c>
      <c r="E12" s="58">
        <f t="shared" si="1"/>
        <v>0.38353537428943218</v>
      </c>
      <c r="F12" s="61">
        <v>53</v>
      </c>
      <c r="G12" s="61">
        <v>56</v>
      </c>
      <c r="H12" s="58">
        <f t="shared" si="2"/>
        <v>0.30878583080866928</v>
      </c>
      <c r="I12" s="58">
        <f t="shared" si="3"/>
        <v>0.38353537428943218</v>
      </c>
      <c r="J12" s="58">
        <f t="shared" si="4"/>
        <v>-5.3571428571428603</v>
      </c>
      <c r="K12" s="58">
        <f t="shared" si="5"/>
        <v>-5.3571428571428603</v>
      </c>
      <c r="L12" s="61"/>
      <c r="M12" s="8"/>
      <c r="N12" s="8"/>
      <c r="O12" s="8"/>
    </row>
    <row r="13" spans="1:15">
      <c r="A13" s="61" t="s">
        <v>543</v>
      </c>
      <c r="B13" s="61">
        <v>7</v>
      </c>
      <c r="C13" s="61">
        <v>12</v>
      </c>
      <c r="D13" s="79">
        <f t="shared" si="0"/>
        <v>4.0783034257748776E-2</v>
      </c>
      <c r="E13" s="58">
        <f t="shared" si="1"/>
        <v>8.2186151633449764E-2</v>
      </c>
      <c r="F13" s="61">
        <v>7</v>
      </c>
      <c r="G13" s="61">
        <v>12</v>
      </c>
      <c r="H13" s="58">
        <f t="shared" si="2"/>
        <v>4.0783034257748776E-2</v>
      </c>
      <c r="I13" s="58">
        <f t="shared" si="3"/>
        <v>8.2186151633449764E-2</v>
      </c>
      <c r="J13" s="58">
        <f t="shared" si="4"/>
        <v>-41.666666666666664</v>
      </c>
      <c r="K13" s="58">
        <f t="shared" si="5"/>
        <v>-41.666666666666664</v>
      </c>
      <c r="L13" s="61"/>
      <c r="M13" s="8"/>
      <c r="N13" s="8"/>
      <c r="O13" s="8"/>
    </row>
    <row r="14" spans="1:15">
      <c r="A14" s="61" t="s">
        <v>544</v>
      </c>
      <c r="B14" s="61">
        <v>134</v>
      </c>
      <c r="C14" s="61">
        <v>171</v>
      </c>
      <c r="D14" s="79">
        <f t="shared" si="0"/>
        <v>0.78070379864833372</v>
      </c>
      <c r="E14" s="58">
        <f t="shared" si="1"/>
        <v>1.1711526607766591</v>
      </c>
      <c r="F14" s="61">
        <v>134</v>
      </c>
      <c r="G14" s="61">
        <v>171</v>
      </c>
      <c r="H14" s="58">
        <f t="shared" si="2"/>
        <v>0.78070379864833372</v>
      </c>
      <c r="I14" s="58">
        <f t="shared" si="3"/>
        <v>1.1711526607766591</v>
      </c>
      <c r="J14" s="58">
        <f t="shared" si="4"/>
        <v>-21.637426900584799</v>
      </c>
      <c r="K14" s="58">
        <f t="shared" si="5"/>
        <v>-21.637426900584799</v>
      </c>
      <c r="L14" s="61"/>
      <c r="M14" s="8"/>
      <c r="N14" s="8"/>
      <c r="O14" s="8"/>
    </row>
    <row r="15" spans="1:15">
      <c r="A15" s="61" t="s">
        <v>545</v>
      </c>
      <c r="B15" s="61">
        <v>1432</v>
      </c>
      <c r="C15" s="61">
        <v>1427</v>
      </c>
      <c r="D15" s="79">
        <f t="shared" si="0"/>
        <v>8.3430435795851778</v>
      </c>
      <c r="E15" s="58">
        <f t="shared" si="1"/>
        <v>9.7733031984110674</v>
      </c>
      <c r="F15" s="61">
        <v>1432</v>
      </c>
      <c r="G15" s="61">
        <v>1427</v>
      </c>
      <c r="H15" s="58">
        <f t="shared" si="2"/>
        <v>8.3430435795851778</v>
      </c>
      <c r="I15" s="58">
        <f t="shared" si="3"/>
        <v>9.7733031984110674</v>
      </c>
      <c r="J15" s="58">
        <f t="shared" si="4"/>
        <v>0.35038542396637062</v>
      </c>
      <c r="K15" s="58">
        <f t="shared" si="5"/>
        <v>0.35038542396637062</v>
      </c>
      <c r="L15" s="61"/>
      <c r="M15" s="8"/>
      <c r="N15" s="8"/>
      <c r="O15" s="8"/>
    </row>
    <row r="16" spans="1:15">
      <c r="A16" s="61" t="s">
        <v>319</v>
      </c>
      <c r="B16" s="61">
        <v>1186</v>
      </c>
      <c r="C16" s="61">
        <v>1210</v>
      </c>
      <c r="D16" s="79">
        <f t="shared" si="0"/>
        <v>6.9098112328128636</v>
      </c>
      <c r="E16" s="58">
        <f t="shared" si="1"/>
        <v>8.2871036230395188</v>
      </c>
      <c r="F16" s="61">
        <v>1186</v>
      </c>
      <c r="G16" s="61">
        <v>1210</v>
      </c>
      <c r="H16" s="58">
        <f t="shared" si="2"/>
        <v>6.9098112328128636</v>
      </c>
      <c r="I16" s="58">
        <f t="shared" si="3"/>
        <v>8.2871036230395188</v>
      </c>
      <c r="J16" s="58">
        <f t="shared" si="4"/>
        <v>-1.9834710743801609</v>
      </c>
      <c r="K16" s="58">
        <f t="shared" si="5"/>
        <v>-1.9834710743801609</v>
      </c>
      <c r="L16" s="61"/>
      <c r="M16" s="8"/>
      <c r="N16" s="8"/>
      <c r="O16" s="8"/>
    </row>
    <row r="17" spans="1:17">
      <c r="A17" s="61" t="s">
        <v>320</v>
      </c>
      <c r="B17" s="61">
        <v>1548</v>
      </c>
      <c r="C17" s="61">
        <v>1503</v>
      </c>
      <c r="D17" s="79">
        <f t="shared" si="0"/>
        <v>9.018876718713587</v>
      </c>
      <c r="E17" s="58">
        <f t="shared" si="1"/>
        <v>10.293815492089584</v>
      </c>
      <c r="F17" s="61">
        <v>1548</v>
      </c>
      <c r="G17" s="61">
        <v>1503</v>
      </c>
      <c r="H17" s="58">
        <f t="shared" si="2"/>
        <v>9.018876718713587</v>
      </c>
      <c r="I17" s="58">
        <f t="shared" si="3"/>
        <v>10.293815492089584</v>
      </c>
      <c r="J17" s="58">
        <f t="shared" si="4"/>
        <v>2.9940119760478945</v>
      </c>
      <c r="K17" s="58">
        <f t="shared" si="5"/>
        <v>2.9940119760478945</v>
      </c>
      <c r="L17" s="61"/>
      <c r="M17" s="8"/>
      <c r="N17" s="8"/>
      <c r="O17" s="8"/>
    </row>
    <row r="18" spans="1:17">
      <c r="A18" s="145" t="s">
        <v>23</v>
      </c>
      <c r="B18" s="145">
        <v>3806</v>
      </c>
      <c r="C18" s="145">
        <v>2687</v>
      </c>
      <c r="D18" s="154">
        <f t="shared" si="0"/>
        <v>22.174318340713121</v>
      </c>
      <c r="E18" s="146">
        <f t="shared" si="1"/>
        <v>18.402849119923292</v>
      </c>
      <c r="F18" s="145">
        <v>3806</v>
      </c>
      <c r="G18" s="145">
        <v>2687</v>
      </c>
      <c r="H18" s="146">
        <f t="shared" si="2"/>
        <v>22.174318340713121</v>
      </c>
      <c r="I18" s="146">
        <f t="shared" si="3"/>
        <v>18.402849119923292</v>
      </c>
      <c r="J18" s="146">
        <f t="shared" si="4"/>
        <v>41.644957201339786</v>
      </c>
      <c r="K18" s="146">
        <f t="shared" si="5"/>
        <v>41.644957201339786</v>
      </c>
      <c r="L18" s="61"/>
      <c r="M18" s="8"/>
      <c r="N18" s="8"/>
      <c r="O18" s="8"/>
    </row>
    <row r="19" spans="1:17">
      <c r="A19" s="81" t="s">
        <v>425</v>
      </c>
      <c r="B19" s="81">
        <f>SUM(B11:B18)</f>
        <v>17164</v>
      </c>
      <c r="C19" s="208">
        <f>SUM(C11:C18)</f>
        <v>14601</v>
      </c>
      <c r="D19" s="82">
        <f t="shared" ref="D19" si="6">(B19/$B$19)*100</f>
        <v>100</v>
      </c>
      <c r="E19" s="82">
        <f t="shared" ref="E19" si="7">(C19/$C$19)*100</f>
        <v>100</v>
      </c>
      <c r="F19" s="208">
        <f>SUM(F11:F18)</f>
        <v>17164</v>
      </c>
      <c r="G19" s="208">
        <f>SUM(G11:G18)</f>
        <v>14601</v>
      </c>
      <c r="H19" s="82">
        <f t="shared" ref="H19" si="8">(F19/$F$19)*100</f>
        <v>100</v>
      </c>
      <c r="I19" s="82">
        <f t="shared" ref="I19" si="9">(G19/$G$19)*100</f>
        <v>100</v>
      </c>
      <c r="J19" s="83">
        <f>((( B19  / C19) - 1) * 100)</f>
        <v>17.553592219710978</v>
      </c>
      <c r="K19" s="83">
        <f>((( F19  / G19) - 1) * 100)</f>
        <v>17.553592219710978</v>
      </c>
      <c r="L19" s="79"/>
      <c r="M19" s="4"/>
      <c r="N19" s="4"/>
      <c r="O19" s="8"/>
      <c r="P19" s="8"/>
      <c r="Q19" s="8"/>
    </row>
    <row r="20" spans="1:17">
      <c r="Q20" s="15"/>
    </row>
    <row r="22" spans="1:17">
      <c r="Q22" s="15"/>
    </row>
    <row r="45" spans="1:1">
      <c r="A45" s="4" t="s">
        <v>620</v>
      </c>
    </row>
  </sheetData>
  <mergeCells count="5">
    <mergeCell ref="B8:C8"/>
    <mergeCell ref="D8:E8"/>
    <mergeCell ref="H8:I8"/>
    <mergeCell ref="J8:K8"/>
    <mergeCell ref="G7:K7"/>
  </mergeCells>
  <dataValidations count="4">
    <dataValidation allowBlank="1" showInputMessage="1" showErrorMessage="1" prompt="antalet registreringar ackumulerat från föregående års början t.o.m den aktuella månaden i föregående år." sqref="I9" xr:uid="{00000000-0002-0000-0A00-000000000000}"/>
    <dataValidation allowBlank="1" showInputMessage="1" showErrorMessage="1" prompt="visar antalet registreringar för den aktuella månaden föregående år." sqref="E9" xr:uid="{00000000-0002-0000-0A00-000001000000}"/>
    <dataValidation allowBlank="1" showInputMessage="1" showErrorMessage="1" prompt="visar antalet registreringar för den aktuella månaden i år." sqref="B9:D9 J9 F9:G9" xr:uid="{00000000-0002-0000-0A00-000002000000}"/>
    <dataValidation allowBlank="1" showInputMessage="1" showErrorMessage="1" prompt="förändring i marknads-andelen ackumulerat från årets början t.o.m den aktuella månaden." sqref="H9 K9" xr:uid="{00000000-0002-0000-0A00-000003000000}"/>
  </dataValidations>
  <pageMargins left="0.70866141732283472" right="0.70866141732283472" top="0.74803149606299213" bottom="0.74803149606299213" header="0.31496062992125984" footer="0.31496062992125984"/>
  <pageSetup paperSize="9" orientation="landscape" r:id="rId1"/>
  <rowBreaks count="1" manualBreakCount="1">
    <brk id="21" max="16383" man="1"/>
  </rowBreaks>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96"/>
  <sheetViews>
    <sheetView workbookViewId="0">
      <pane ySplit="8" topLeftCell="A9" activePane="bottomLeft" state="frozen"/>
      <selection pane="bottomLeft" activeCell="R25" sqref="R25"/>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223</v>
      </c>
      <c r="E2" s="56"/>
      <c r="F2" s="56"/>
      <c r="G2" s="56"/>
      <c r="H2" s="56"/>
      <c r="I2" s="56"/>
      <c r="J2" s="56"/>
      <c r="P2"/>
      <c r="Q2"/>
    </row>
    <row r="4" spans="1:17" ht="15.75" customHeight="1">
      <c r="A4" s="86" t="s">
        <v>428</v>
      </c>
      <c r="B4" s="25"/>
      <c r="C4" s="25"/>
      <c r="D4" s="25"/>
      <c r="E4" s="25"/>
      <c r="F4" s="25"/>
      <c r="G4" s="25"/>
      <c r="H4" s="38"/>
      <c r="I4" s="38"/>
      <c r="J4" s="25"/>
      <c r="K4" s="25"/>
      <c r="L4" s="25"/>
      <c r="M4" s="25"/>
      <c r="N4" s="25"/>
      <c r="O4" s="25"/>
      <c r="P4" s="38"/>
      <c r="Q4" s="38"/>
    </row>
    <row r="5" spans="1:17">
      <c r="A5" s="128"/>
      <c r="B5" s="268" t="str">
        <f>Innehåll!D75</f>
        <v>Januari</v>
      </c>
      <c r="C5" s="270"/>
      <c r="D5" s="270"/>
      <c r="E5" s="270"/>
      <c r="F5" s="270"/>
      <c r="G5" s="270"/>
      <c r="H5" s="270"/>
      <c r="I5" s="270"/>
      <c r="J5" s="268" t="str">
        <f>Innehåll!D76</f>
        <v>Januari - januari</v>
      </c>
      <c r="K5" s="270"/>
      <c r="L5" s="270"/>
      <c r="M5" s="270"/>
      <c r="N5" s="270"/>
      <c r="O5" s="270"/>
      <c r="P5" s="270"/>
      <c r="Q5" s="270"/>
    </row>
    <row r="6" spans="1:17">
      <c r="A6" s="128"/>
      <c r="B6" s="268" t="s">
        <v>505</v>
      </c>
      <c r="C6" s="269"/>
      <c r="D6" s="268" t="s">
        <v>506</v>
      </c>
      <c r="E6" s="269"/>
      <c r="F6" s="268" t="s">
        <v>507</v>
      </c>
      <c r="G6" s="269"/>
      <c r="H6" s="268" t="s">
        <v>425</v>
      </c>
      <c r="I6" s="269"/>
      <c r="J6" s="268" t="s">
        <v>505</v>
      </c>
      <c r="K6" s="269"/>
      <c r="L6" s="268" t="s">
        <v>506</v>
      </c>
      <c r="M6" s="269"/>
      <c r="N6" s="268" t="s">
        <v>507</v>
      </c>
      <c r="O6" s="269"/>
      <c r="P6" s="268" t="s">
        <v>425</v>
      </c>
      <c r="Q6" s="270"/>
    </row>
    <row r="7" spans="1:17">
      <c r="A7" s="128" t="s">
        <v>434</v>
      </c>
      <c r="B7" s="128" t="str">
        <f>Innehåll!D77</f>
        <v xml:space="preserve"> 2024</v>
      </c>
      <c r="C7" s="128" t="str">
        <f>Innehåll!D78</f>
        <v xml:space="preserve"> 2023</v>
      </c>
      <c r="D7" s="128" t="str">
        <f>B7</f>
        <v xml:space="preserve"> 2024</v>
      </c>
      <c r="E7" s="128" t="str">
        <f>C7</f>
        <v xml:space="preserve"> 2023</v>
      </c>
      <c r="F7" s="128" t="str">
        <f>B7</f>
        <v xml:space="preserve"> 2024</v>
      </c>
      <c r="G7" s="128" t="str">
        <f>C7</f>
        <v xml:space="preserve"> 2023</v>
      </c>
      <c r="H7" s="128" t="str">
        <f>B7</f>
        <v xml:space="preserve"> 2024</v>
      </c>
      <c r="I7" s="128" t="str">
        <f>C7</f>
        <v xml:space="preserve"> 2023</v>
      </c>
      <c r="J7" s="128" t="str">
        <f>B7</f>
        <v xml:space="preserve"> 2024</v>
      </c>
      <c r="K7" s="128" t="str">
        <f>C7</f>
        <v xml:space="preserve"> 2023</v>
      </c>
      <c r="L7" s="128" t="str">
        <f>B7</f>
        <v xml:space="preserve"> 2024</v>
      </c>
      <c r="M7" s="128" t="str">
        <f>C7</f>
        <v xml:space="preserve"> 2023</v>
      </c>
      <c r="N7" s="128" t="str">
        <f>B7</f>
        <v xml:space="preserve"> 2024</v>
      </c>
      <c r="O7" s="128" t="str">
        <f>C7</f>
        <v xml:space="preserve"> 2023</v>
      </c>
      <c r="P7" s="128" t="str">
        <f>B7</f>
        <v xml:space="preserve"> 2024</v>
      </c>
      <c r="Q7" s="128" t="str">
        <f>C7</f>
        <v xml:space="preserve"> 2023</v>
      </c>
    </row>
    <row r="8" spans="1:17" ht="15.25" hidden="1" customHeight="1">
      <c r="A8" s="25" t="s">
        <v>224</v>
      </c>
      <c r="B8" s="25" t="s">
        <v>225</v>
      </c>
      <c r="C8" s="25" t="s">
        <v>226</v>
      </c>
      <c r="D8" s="25" t="s">
        <v>227</v>
      </c>
      <c r="E8" s="25" t="s">
        <v>228</v>
      </c>
      <c r="F8" s="25" t="s">
        <v>229</v>
      </c>
      <c r="G8" s="25" t="s">
        <v>230</v>
      </c>
      <c r="H8" s="38" t="s">
        <v>231</v>
      </c>
      <c r="I8" s="38" t="s">
        <v>232</v>
      </c>
      <c r="J8" s="25" t="s">
        <v>233</v>
      </c>
      <c r="K8" s="25" t="s">
        <v>234</v>
      </c>
      <c r="L8" s="25" t="s">
        <v>235</v>
      </c>
      <c r="M8" s="25" t="s">
        <v>236</v>
      </c>
      <c r="N8" s="25" t="s">
        <v>237</v>
      </c>
      <c r="O8" s="25" t="s">
        <v>238</v>
      </c>
      <c r="P8" s="38" t="s">
        <v>239</v>
      </c>
      <c r="Q8" s="38" t="s">
        <v>240</v>
      </c>
    </row>
    <row r="9" spans="1:17">
      <c r="A9" s="25" t="s">
        <v>241</v>
      </c>
      <c r="B9" s="61">
        <v>1</v>
      </c>
      <c r="C9" s="61">
        <v>0</v>
      </c>
      <c r="D9" s="61">
        <v>2</v>
      </c>
      <c r="E9" s="61">
        <v>4</v>
      </c>
      <c r="F9" s="25">
        <v>66.7</v>
      </c>
      <c r="G9" s="25">
        <v>100</v>
      </c>
      <c r="H9" s="85">
        <v>3</v>
      </c>
      <c r="I9" s="85">
        <v>4</v>
      </c>
      <c r="J9" s="61">
        <v>1</v>
      </c>
      <c r="K9" s="61">
        <v>0</v>
      </c>
      <c r="L9" s="61">
        <v>2</v>
      </c>
      <c r="M9" s="61">
        <v>4</v>
      </c>
      <c r="N9" s="25">
        <v>66.7</v>
      </c>
      <c r="O9" s="25">
        <v>100</v>
      </c>
      <c r="P9" s="85">
        <v>3</v>
      </c>
      <c r="Q9" s="85">
        <v>4</v>
      </c>
    </row>
    <row r="10" spans="1:17">
      <c r="A10" s="25" t="s">
        <v>516</v>
      </c>
      <c r="B10" s="61">
        <v>0</v>
      </c>
      <c r="C10" s="61">
        <v>0</v>
      </c>
      <c r="D10" s="61">
        <v>1</v>
      </c>
      <c r="E10" s="61">
        <v>0</v>
      </c>
      <c r="F10" s="25">
        <v>100</v>
      </c>
      <c r="G10" s="25">
        <v>0</v>
      </c>
      <c r="H10" s="85">
        <v>1</v>
      </c>
      <c r="I10" s="85">
        <v>0</v>
      </c>
      <c r="J10" s="61">
        <v>0</v>
      </c>
      <c r="K10" s="61">
        <v>0</v>
      </c>
      <c r="L10" s="61">
        <v>1</v>
      </c>
      <c r="M10" s="61">
        <v>0</v>
      </c>
      <c r="N10" s="25">
        <v>100</v>
      </c>
      <c r="O10" s="25">
        <v>0</v>
      </c>
      <c r="P10" s="85">
        <v>1</v>
      </c>
      <c r="Q10" s="85">
        <v>0</v>
      </c>
    </row>
    <row r="11" spans="1:17">
      <c r="A11" s="25" t="s">
        <v>242</v>
      </c>
      <c r="B11" s="61">
        <v>269</v>
      </c>
      <c r="C11" s="61">
        <v>338</v>
      </c>
      <c r="D11" s="61">
        <v>837</v>
      </c>
      <c r="E11" s="61">
        <v>562</v>
      </c>
      <c r="F11" s="25">
        <v>75.7</v>
      </c>
      <c r="G11" s="25">
        <v>62.4</v>
      </c>
      <c r="H11" s="85">
        <v>1106</v>
      </c>
      <c r="I11" s="85">
        <v>900</v>
      </c>
      <c r="J11" s="61">
        <v>269</v>
      </c>
      <c r="K11" s="61">
        <v>338</v>
      </c>
      <c r="L11" s="61">
        <v>837</v>
      </c>
      <c r="M11" s="61">
        <v>562</v>
      </c>
      <c r="N11" s="25">
        <v>75.7</v>
      </c>
      <c r="O11" s="25">
        <v>62.4</v>
      </c>
      <c r="P11" s="85">
        <v>1106</v>
      </c>
      <c r="Q11" s="85">
        <v>900</v>
      </c>
    </row>
    <row r="12" spans="1:17">
      <c r="A12" s="25" t="s">
        <v>243</v>
      </c>
      <c r="B12" s="61">
        <v>0</v>
      </c>
      <c r="C12" s="61">
        <v>1</v>
      </c>
      <c r="D12" s="61">
        <v>0</v>
      </c>
      <c r="E12" s="61">
        <v>1</v>
      </c>
      <c r="F12" s="25">
        <v>0</v>
      </c>
      <c r="G12" s="25">
        <v>50</v>
      </c>
      <c r="H12" s="85">
        <v>0</v>
      </c>
      <c r="I12" s="85">
        <v>2</v>
      </c>
      <c r="J12" s="61">
        <v>0</v>
      </c>
      <c r="K12" s="61">
        <v>1</v>
      </c>
      <c r="L12" s="61">
        <v>0</v>
      </c>
      <c r="M12" s="61">
        <v>1</v>
      </c>
      <c r="N12" s="25">
        <v>0</v>
      </c>
      <c r="O12" s="25">
        <v>50</v>
      </c>
      <c r="P12" s="85">
        <v>0</v>
      </c>
      <c r="Q12" s="85">
        <v>2</v>
      </c>
    </row>
    <row r="13" spans="1:17">
      <c r="A13" s="25" t="s">
        <v>244</v>
      </c>
      <c r="B13" s="61">
        <v>99</v>
      </c>
      <c r="C13" s="61">
        <v>185</v>
      </c>
      <c r="D13" s="61">
        <v>725</v>
      </c>
      <c r="E13" s="61">
        <v>839</v>
      </c>
      <c r="F13" s="25">
        <v>88</v>
      </c>
      <c r="G13" s="25">
        <v>81.900000000000006</v>
      </c>
      <c r="H13" s="85">
        <v>824</v>
      </c>
      <c r="I13" s="85">
        <v>1024</v>
      </c>
      <c r="J13" s="61">
        <v>99</v>
      </c>
      <c r="K13" s="61">
        <v>185</v>
      </c>
      <c r="L13" s="61">
        <v>725</v>
      </c>
      <c r="M13" s="61">
        <v>839</v>
      </c>
      <c r="N13" s="25">
        <v>88</v>
      </c>
      <c r="O13" s="25">
        <v>81.900000000000006</v>
      </c>
      <c r="P13" s="85">
        <v>824</v>
      </c>
      <c r="Q13" s="85">
        <v>1024</v>
      </c>
    </row>
    <row r="14" spans="1:17">
      <c r="A14" s="25" t="s">
        <v>616</v>
      </c>
      <c r="B14" s="61">
        <v>43</v>
      </c>
      <c r="C14" s="61">
        <v>5</v>
      </c>
      <c r="D14" s="61">
        <v>20</v>
      </c>
      <c r="E14" s="61">
        <v>13</v>
      </c>
      <c r="F14" s="25">
        <v>31.7</v>
      </c>
      <c r="G14" s="25">
        <v>72.2</v>
      </c>
      <c r="H14" s="85">
        <v>63</v>
      </c>
      <c r="I14" s="85">
        <v>18</v>
      </c>
      <c r="J14" s="61">
        <v>43</v>
      </c>
      <c r="K14" s="61">
        <v>5</v>
      </c>
      <c r="L14" s="61">
        <v>20</v>
      </c>
      <c r="M14" s="61">
        <v>13</v>
      </c>
      <c r="N14" s="25">
        <v>31.7</v>
      </c>
      <c r="O14" s="25">
        <v>72.2</v>
      </c>
      <c r="P14" s="85">
        <v>63</v>
      </c>
      <c r="Q14" s="85">
        <v>18</v>
      </c>
    </row>
    <row r="15" spans="1:17">
      <c r="A15" s="25" t="s">
        <v>613</v>
      </c>
      <c r="B15" s="61">
        <v>0</v>
      </c>
      <c r="C15" s="61">
        <v>0</v>
      </c>
      <c r="D15" s="61">
        <v>0</v>
      </c>
      <c r="E15" s="61">
        <v>2</v>
      </c>
      <c r="F15" s="25">
        <v>0</v>
      </c>
      <c r="G15" s="25">
        <v>100</v>
      </c>
      <c r="H15" s="85">
        <v>0</v>
      </c>
      <c r="I15" s="85">
        <v>2</v>
      </c>
      <c r="J15" s="61">
        <v>0</v>
      </c>
      <c r="K15" s="61">
        <v>0</v>
      </c>
      <c r="L15" s="61">
        <v>0</v>
      </c>
      <c r="M15" s="61">
        <v>2</v>
      </c>
      <c r="N15" s="25">
        <v>0</v>
      </c>
      <c r="O15" s="25">
        <v>100</v>
      </c>
      <c r="P15" s="85">
        <v>0</v>
      </c>
      <c r="Q15" s="85">
        <v>2</v>
      </c>
    </row>
    <row r="16" spans="1:17">
      <c r="A16" s="25" t="s">
        <v>245</v>
      </c>
      <c r="B16" s="61">
        <v>1</v>
      </c>
      <c r="C16" s="61">
        <v>4</v>
      </c>
      <c r="D16" s="61">
        <v>1</v>
      </c>
      <c r="E16" s="61">
        <v>1</v>
      </c>
      <c r="F16" s="25">
        <v>50</v>
      </c>
      <c r="G16" s="25">
        <v>20</v>
      </c>
      <c r="H16" s="85">
        <v>2</v>
      </c>
      <c r="I16" s="85">
        <v>5</v>
      </c>
      <c r="J16" s="61">
        <v>1</v>
      </c>
      <c r="K16" s="61">
        <v>4</v>
      </c>
      <c r="L16" s="61">
        <v>1</v>
      </c>
      <c r="M16" s="61">
        <v>1</v>
      </c>
      <c r="N16" s="25">
        <v>50</v>
      </c>
      <c r="O16" s="25">
        <v>20</v>
      </c>
      <c r="P16" s="85">
        <v>2</v>
      </c>
      <c r="Q16" s="85">
        <v>5</v>
      </c>
    </row>
    <row r="17" spans="1:17">
      <c r="A17" s="25" t="s">
        <v>246</v>
      </c>
      <c r="B17" s="61">
        <v>61</v>
      </c>
      <c r="C17" s="61">
        <v>9</v>
      </c>
      <c r="D17" s="61">
        <v>73</v>
      </c>
      <c r="E17" s="61">
        <v>113</v>
      </c>
      <c r="F17" s="25">
        <v>54.5</v>
      </c>
      <c r="G17" s="25">
        <v>92.6</v>
      </c>
      <c r="H17" s="85">
        <v>134</v>
      </c>
      <c r="I17" s="85">
        <v>122</v>
      </c>
      <c r="J17" s="61">
        <v>61</v>
      </c>
      <c r="K17" s="61">
        <v>9</v>
      </c>
      <c r="L17" s="61">
        <v>73</v>
      </c>
      <c r="M17" s="61">
        <v>113</v>
      </c>
      <c r="N17" s="25">
        <v>54.5</v>
      </c>
      <c r="O17" s="25">
        <v>92.6</v>
      </c>
      <c r="P17" s="85">
        <v>134</v>
      </c>
      <c r="Q17" s="85">
        <v>122</v>
      </c>
    </row>
    <row r="18" spans="1:17">
      <c r="A18" s="25" t="s">
        <v>982</v>
      </c>
      <c r="B18" s="61">
        <v>73</v>
      </c>
      <c r="C18" s="61">
        <v>19</v>
      </c>
      <c r="D18" s="61">
        <v>81</v>
      </c>
      <c r="E18" s="61">
        <v>22</v>
      </c>
      <c r="F18" s="25">
        <v>52.6</v>
      </c>
      <c r="G18" s="25">
        <v>53.7</v>
      </c>
      <c r="H18" s="85">
        <v>154</v>
      </c>
      <c r="I18" s="85">
        <v>41</v>
      </c>
      <c r="J18" s="61">
        <v>73</v>
      </c>
      <c r="K18" s="61">
        <v>19</v>
      </c>
      <c r="L18" s="61">
        <v>81</v>
      </c>
      <c r="M18" s="61">
        <v>22</v>
      </c>
      <c r="N18" s="25">
        <v>52.6</v>
      </c>
      <c r="O18" s="25">
        <v>53.7</v>
      </c>
      <c r="P18" s="85">
        <v>154</v>
      </c>
      <c r="Q18" s="85">
        <v>41</v>
      </c>
    </row>
    <row r="19" spans="1:17">
      <c r="A19" s="25" t="s">
        <v>247</v>
      </c>
      <c r="B19" s="61">
        <v>78</v>
      </c>
      <c r="C19" s="61">
        <v>149</v>
      </c>
      <c r="D19" s="61">
        <v>77</v>
      </c>
      <c r="E19" s="61">
        <v>239</v>
      </c>
      <c r="F19" s="25">
        <v>49.7</v>
      </c>
      <c r="G19" s="25">
        <v>61.6</v>
      </c>
      <c r="H19" s="85">
        <v>155</v>
      </c>
      <c r="I19" s="85">
        <v>388</v>
      </c>
      <c r="J19" s="61">
        <v>78</v>
      </c>
      <c r="K19" s="61">
        <v>149</v>
      </c>
      <c r="L19" s="61">
        <v>77</v>
      </c>
      <c r="M19" s="61">
        <v>239</v>
      </c>
      <c r="N19" s="25">
        <v>49.7</v>
      </c>
      <c r="O19" s="25">
        <v>61.6</v>
      </c>
      <c r="P19" s="85">
        <v>155</v>
      </c>
      <c r="Q19" s="85">
        <v>388</v>
      </c>
    </row>
    <row r="20" spans="1:17">
      <c r="A20" s="25" t="s">
        <v>277</v>
      </c>
      <c r="B20" s="61">
        <v>0</v>
      </c>
      <c r="C20" s="61">
        <v>13</v>
      </c>
      <c r="D20" s="61">
        <v>3</v>
      </c>
      <c r="E20" s="61">
        <v>13</v>
      </c>
      <c r="F20" s="25">
        <v>100</v>
      </c>
      <c r="G20" s="25">
        <v>50</v>
      </c>
      <c r="H20" s="85">
        <v>3</v>
      </c>
      <c r="I20" s="85">
        <v>26</v>
      </c>
      <c r="J20" s="61">
        <v>0</v>
      </c>
      <c r="K20" s="61">
        <v>13</v>
      </c>
      <c r="L20" s="61">
        <v>3</v>
      </c>
      <c r="M20" s="61">
        <v>13</v>
      </c>
      <c r="N20" s="25">
        <v>100</v>
      </c>
      <c r="O20" s="25">
        <v>50</v>
      </c>
      <c r="P20" s="85">
        <v>3</v>
      </c>
      <c r="Q20" s="85">
        <v>26</v>
      </c>
    </row>
    <row r="21" spans="1:17">
      <c r="A21" s="25" t="s">
        <v>614</v>
      </c>
      <c r="B21" s="61">
        <v>0</v>
      </c>
      <c r="C21" s="61">
        <v>2</v>
      </c>
      <c r="D21" s="61">
        <v>5</v>
      </c>
      <c r="E21" s="61">
        <v>1</v>
      </c>
      <c r="F21" s="25">
        <v>100</v>
      </c>
      <c r="G21" s="25">
        <v>33.299999999999997</v>
      </c>
      <c r="H21" s="85">
        <v>5</v>
      </c>
      <c r="I21" s="85">
        <v>3</v>
      </c>
      <c r="J21" s="61">
        <v>0</v>
      </c>
      <c r="K21" s="61">
        <v>2</v>
      </c>
      <c r="L21" s="61">
        <v>5</v>
      </c>
      <c r="M21" s="61">
        <v>1</v>
      </c>
      <c r="N21" s="25">
        <v>100</v>
      </c>
      <c r="O21" s="25">
        <v>33.299999999999997</v>
      </c>
      <c r="P21" s="85">
        <v>5</v>
      </c>
      <c r="Q21" s="85">
        <v>3</v>
      </c>
    </row>
    <row r="22" spans="1:17">
      <c r="A22" s="25" t="s">
        <v>248</v>
      </c>
      <c r="B22" s="61">
        <v>21</v>
      </c>
      <c r="C22" s="61">
        <v>21</v>
      </c>
      <c r="D22" s="61">
        <v>4</v>
      </c>
      <c r="E22" s="61">
        <v>15</v>
      </c>
      <c r="F22" s="25">
        <v>16</v>
      </c>
      <c r="G22" s="25">
        <v>41.7</v>
      </c>
      <c r="H22" s="85">
        <v>25</v>
      </c>
      <c r="I22" s="85">
        <v>36</v>
      </c>
      <c r="J22" s="61">
        <v>21</v>
      </c>
      <c r="K22" s="61">
        <v>21</v>
      </c>
      <c r="L22" s="61">
        <v>4</v>
      </c>
      <c r="M22" s="61">
        <v>15</v>
      </c>
      <c r="N22" s="25">
        <v>16</v>
      </c>
      <c r="O22" s="25">
        <v>41.7</v>
      </c>
      <c r="P22" s="85">
        <v>25</v>
      </c>
      <c r="Q22" s="85">
        <v>36</v>
      </c>
    </row>
    <row r="23" spans="1:17">
      <c r="A23" s="25" t="s">
        <v>249</v>
      </c>
      <c r="B23" s="61">
        <v>183</v>
      </c>
      <c r="C23" s="61">
        <v>27</v>
      </c>
      <c r="D23" s="61">
        <v>302</v>
      </c>
      <c r="E23" s="61">
        <v>129</v>
      </c>
      <c r="F23" s="25">
        <v>62.3</v>
      </c>
      <c r="G23" s="25">
        <v>82.7</v>
      </c>
      <c r="H23" s="85">
        <v>485</v>
      </c>
      <c r="I23" s="85">
        <v>156</v>
      </c>
      <c r="J23" s="61">
        <v>183</v>
      </c>
      <c r="K23" s="61">
        <v>27</v>
      </c>
      <c r="L23" s="61">
        <v>302</v>
      </c>
      <c r="M23" s="61">
        <v>129</v>
      </c>
      <c r="N23" s="25">
        <v>62.3</v>
      </c>
      <c r="O23" s="25">
        <v>82.7</v>
      </c>
      <c r="P23" s="85">
        <v>485</v>
      </c>
      <c r="Q23" s="85">
        <v>156</v>
      </c>
    </row>
    <row r="24" spans="1:17">
      <c r="A24" s="25" t="s">
        <v>250</v>
      </c>
      <c r="B24" s="61">
        <v>34</v>
      </c>
      <c r="C24" s="61">
        <v>6</v>
      </c>
      <c r="D24" s="61">
        <v>33</v>
      </c>
      <c r="E24" s="61">
        <v>19</v>
      </c>
      <c r="F24" s="25">
        <v>49.3</v>
      </c>
      <c r="G24" s="25">
        <v>76</v>
      </c>
      <c r="H24" s="85">
        <v>67</v>
      </c>
      <c r="I24" s="85">
        <v>25</v>
      </c>
      <c r="J24" s="61">
        <v>34</v>
      </c>
      <c r="K24" s="61">
        <v>6</v>
      </c>
      <c r="L24" s="61">
        <v>33</v>
      </c>
      <c r="M24" s="61">
        <v>19</v>
      </c>
      <c r="N24" s="25">
        <v>49.3</v>
      </c>
      <c r="O24" s="25">
        <v>76</v>
      </c>
      <c r="P24" s="85">
        <v>67</v>
      </c>
      <c r="Q24" s="85">
        <v>25</v>
      </c>
    </row>
    <row r="25" spans="1:17">
      <c r="A25" s="25" t="s">
        <v>971</v>
      </c>
      <c r="B25" s="61">
        <v>0</v>
      </c>
      <c r="C25" s="61">
        <v>0</v>
      </c>
      <c r="D25" s="61">
        <v>7</v>
      </c>
      <c r="E25" s="61">
        <v>0</v>
      </c>
      <c r="F25" s="25">
        <v>100</v>
      </c>
      <c r="G25" s="25">
        <v>0</v>
      </c>
      <c r="H25" s="85">
        <v>7</v>
      </c>
      <c r="I25" s="85">
        <v>0</v>
      </c>
      <c r="J25" s="61">
        <v>0</v>
      </c>
      <c r="K25" s="61">
        <v>0</v>
      </c>
      <c r="L25" s="61">
        <v>7</v>
      </c>
      <c r="M25" s="61">
        <v>0</v>
      </c>
      <c r="N25" s="25">
        <v>100</v>
      </c>
      <c r="O25" s="25">
        <v>0</v>
      </c>
      <c r="P25" s="85">
        <v>7</v>
      </c>
      <c r="Q25" s="85">
        <v>0</v>
      </c>
    </row>
    <row r="26" spans="1:17">
      <c r="A26" s="25" t="s">
        <v>251</v>
      </c>
      <c r="B26" s="61">
        <v>130</v>
      </c>
      <c r="C26" s="61">
        <v>117</v>
      </c>
      <c r="D26" s="61">
        <v>112</v>
      </c>
      <c r="E26" s="61">
        <v>132</v>
      </c>
      <c r="F26" s="25">
        <v>46.3</v>
      </c>
      <c r="G26" s="25">
        <v>53</v>
      </c>
      <c r="H26" s="85">
        <v>242</v>
      </c>
      <c r="I26" s="85">
        <v>249</v>
      </c>
      <c r="J26" s="61">
        <v>130</v>
      </c>
      <c r="K26" s="61">
        <v>117</v>
      </c>
      <c r="L26" s="61">
        <v>112</v>
      </c>
      <c r="M26" s="61">
        <v>132</v>
      </c>
      <c r="N26" s="25">
        <v>46.3</v>
      </c>
      <c r="O26" s="25">
        <v>53</v>
      </c>
      <c r="P26" s="85">
        <v>242</v>
      </c>
      <c r="Q26" s="85">
        <v>249</v>
      </c>
    </row>
    <row r="27" spans="1:17">
      <c r="A27" s="25" t="s">
        <v>1057</v>
      </c>
      <c r="B27" s="61">
        <v>1</v>
      </c>
      <c r="C27" s="61">
        <v>0</v>
      </c>
      <c r="D27" s="61">
        <v>7</v>
      </c>
      <c r="E27" s="61">
        <v>0</v>
      </c>
      <c r="F27" s="25">
        <v>87.5</v>
      </c>
      <c r="G27" s="25">
        <v>0</v>
      </c>
      <c r="H27" s="85">
        <v>8</v>
      </c>
      <c r="I27" s="85">
        <v>0</v>
      </c>
      <c r="J27" s="61">
        <v>1</v>
      </c>
      <c r="K27" s="61">
        <v>0</v>
      </c>
      <c r="L27" s="61">
        <v>7</v>
      </c>
      <c r="M27" s="61">
        <v>0</v>
      </c>
      <c r="N27" s="25">
        <v>87.5</v>
      </c>
      <c r="O27" s="25">
        <v>0</v>
      </c>
      <c r="P27" s="85">
        <v>8</v>
      </c>
      <c r="Q27" s="85">
        <v>0</v>
      </c>
    </row>
    <row r="28" spans="1:17">
      <c r="A28" s="25" t="s">
        <v>252</v>
      </c>
      <c r="B28" s="61">
        <v>0</v>
      </c>
      <c r="C28" s="61">
        <v>1</v>
      </c>
      <c r="D28" s="61">
        <v>0</v>
      </c>
      <c r="E28" s="61">
        <v>0</v>
      </c>
      <c r="F28" s="25">
        <v>0</v>
      </c>
      <c r="G28" s="25">
        <v>0</v>
      </c>
      <c r="H28" s="85">
        <v>0</v>
      </c>
      <c r="I28" s="85">
        <v>1</v>
      </c>
      <c r="J28" s="61">
        <v>0</v>
      </c>
      <c r="K28" s="61">
        <v>1</v>
      </c>
      <c r="L28" s="61">
        <v>0</v>
      </c>
      <c r="M28" s="61">
        <v>0</v>
      </c>
      <c r="N28" s="25">
        <v>0</v>
      </c>
      <c r="O28" s="25">
        <v>0</v>
      </c>
      <c r="P28" s="85">
        <v>0</v>
      </c>
      <c r="Q28" s="85">
        <v>1</v>
      </c>
    </row>
    <row r="29" spans="1:17">
      <c r="A29" s="25" t="s">
        <v>253</v>
      </c>
      <c r="B29" s="61">
        <v>2</v>
      </c>
      <c r="C29" s="61">
        <v>0</v>
      </c>
      <c r="D29" s="61">
        <v>4</v>
      </c>
      <c r="E29" s="61">
        <v>4</v>
      </c>
      <c r="F29" s="25">
        <v>66.7</v>
      </c>
      <c r="G29" s="25">
        <v>100</v>
      </c>
      <c r="H29" s="85">
        <v>6</v>
      </c>
      <c r="I29" s="85">
        <v>4</v>
      </c>
      <c r="J29" s="61">
        <v>2</v>
      </c>
      <c r="K29" s="61">
        <v>0</v>
      </c>
      <c r="L29" s="61">
        <v>4</v>
      </c>
      <c r="M29" s="61">
        <v>4</v>
      </c>
      <c r="N29" s="25">
        <v>66.7</v>
      </c>
      <c r="O29" s="25">
        <v>100</v>
      </c>
      <c r="P29" s="85">
        <v>6</v>
      </c>
      <c r="Q29" s="85">
        <v>4</v>
      </c>
    </row>
    <row r="30" spans="1:17">
      <c r="A30" s="25" t="s">
        <v>254</v>
      </c>
      <c r="B30" s="61">
        <v>495</v>
      </c>
      <c r="C30" s="61">
        <v>654</v>
      </c>
      <c r="D30" s="61">
        <v>677</v>
      </c>
      <c r="E30" s="61">
        <v>825</v>
      </c>
      <c r="F30" s="25">
        <v>57.8</v>
      </c>
      <c r="G30" s="25">
        <v>55.8</v>
      </c>
      <c r="H30" s="85">
        <v>1172</v>
      </c>
      <c r="I30" s="85">
        <v>1479</v>
      </c>
      <c r="J30" s="61">
        <v>495</v>
      </c>
      <c r="K30" s="61">
        <v>654</v>
      </c>
      <c r="L30" s="61">
        <v>677</v>
      </c>
      <c r="M30" s="61">
        <v>825</v>
      </c>
      <c r="N30" s="25">
        <v>57.8</v>
      </c>
      <c r="O30" s="25">
        <v>55.8</v>
      </c>
      <c r="P30" s="85">
        <v>1172</v>
      </c>
      <c r="Q30" s="85">
        <v>1479</v>
      </c>
    </row>
    <row r="31" spans="1:17">
      <c r="A31" s="25" t="s">
        <v>255</v>
      </c>
      <c r="B31" s="61">
        <v>0</v>
      </c>
      <c r="C31" s="61">
        <v>1</v>
      </c>
      <c r="D31" s="61">
        <v>3</v>
      </c>
      <c r="E31" s="61">
        <v>0</v>
      </c>
      <c r="F31" s="25">
        <v>100</v>
      </c>
      <c r="G31" s="25">
        <v>0</v>
      </c>
      <c r="H31" s="85">
        <v>3</v>
      </c>
      <c r="I31" s="85">
        <v>1</v>
      </c>
      <c r="J31" s="61">
        <v>0</v>
      </c>
      <c r="K31" s="61">
        <v>1</v>
      </c>
      <c r="L31" s="61">
        <v>3</v>
      </c>
      <c r="M31" s="61">
        <v>0</v>
      </c>
      <c r="N31" s="25">
        <v>100</v>
      </c>
      <c r="O31" s="25">
        <v>0</v>
      </c>
      <c r="P31" s="85">
        <v>3</v>
      </c>
      <c r="Q31" s="85">
        <v>1</v>
      </c>
    </row>
    <row r="32" spans="1:17">
      <c r="A32" s="25" t="s">
        <v>256</v>
      </c>
      <c r="B32" s="61">
        <v>13</v>
      </c>
      <c r="C32" s="61">
        <v>1</v>
      </c>
      <c r="D32" s="61">
        <v>44</v>
      </c>
      <c r="E32" s="61">
        <v>24</v>
      </c>
      <c r="F32" s="25">
        <v>77.2</v>
      </c>
      <c r="G32" s="25">
        <v>96</v>
      </c>
      <c r="H32" s="85">
        <v>57</v>
      </c>
      <c r="I32" s="85">
        <v>25</v>
      </c>
      <c r="J32" s="61">
        <v>13</v>
      </c>
      <c r="K32" s="61">
        <v>1</v>
      </c>
      <c r="L32" s="61">
        <v>44</v>
      </c>
      <c r="M32" s="61">
        <v>24</v>
      </c>
      <c r="N32" s="25">
        <v>77.2</v>
      </c>
      <c r="O32" s="25">
        <v>96</v>
      </c>
      <c r="P32" s="85">
        <v>57</v>
      </c>
      <c r="Q32" s="85">
        <v>25</v>
      </c>
    </row>
    <row r="33" spans="1:17">
      <c r="A33" s="25" t="s">
        <v>257</v>
      </c>
      <c r="B33" s="61">
        <v>90</v>
      </c>
      <c r="C33" s="61">
        <v>46</v>
      </c>
      <c r="D33" s="61">
        <v>122</v>
      </c>
      <c r="E33" s="61">
        <v>97</v>
      </c>
      <c r="F33" s="25">
        <v>57.5</v>
      </c>
      <c r="G33" s="25">
        <v>67.8</v>
      </c>
      <c r="H33" s="85">
        <v>212</v>
      </c>
      <c r="I33" s="85">
        <v>143</v>
      </c>
      <c r="J33" s="61">
        <v>90</v>
      </c>
      <c r="K33" s="61">
        <v>46</v>
      </c>
      <c r="L33" s="61">
        <v>122</v>
      </c>
      <c r="M33" s="61">
        <v>97</v>
      </c>
      <c r="N33" s="25">
        <v>57.5</v>
      </c>
      <c r="O33" s="25">
        <v>67.8</v>
      </c>
      <c r="P33" s="85">
        <v>212</v>
      </c>
      <c r="Q33" s="85">
        <v>143</v>
      </c>
    </row>
    <row r="34" spans="1:17">
      <c r="A34" s="25" t="s">
        <v>1098</v>
      </c>
      <c r="B34" s="61">
        <v>0</v>
      </c>
      <c r="C34" s="61">
        <v>0</v>
      </c>
      <c r="D34" s="61">
        <v>2</v>
      </c>
      <c r="E34" s="61">
        <v>0</v>
      </c>
      <c r="F34" s="25">
        <v>100</v>
      </c>
      <c r="G34" s="25">
        <v>0</v>
      </c>
      <c r="H34" s="85">
        <v>2</v>
      </c>
      <c r="I34" s="85">
        <v>0</v>
      </c>
      <c r="J34" s="61">
        <v>0</v>
      </c>
      <c r="K34" s="61">
        <v>0</v>
      </c>
      <c r="L34" s="61">
        <v>2</v>
      </c>
      <c r="M34" s="61">
        <v>0</v>
      </c>
      <c r="N34" s="25">
        <v>100</v>
      </c>
      <c r="O34" s="25">
        <v>0</v>
      </c>
      <c r="P34" s="85">
        <v>2</v>
      </c>
      <c r="Q34" s="85">
        <v>0</v>
      </c>
    </row>
    <row r="35" spans="1:17">
      <c r="A35" s="25" t="s">
        <v>532</v>
      </c>
      <c r="B35" s="61">
        <v>0</v>
      </c>
      <c r="C35" s="61">
        <v>0</v>
      </c>
      <c r="D35" s="61">
        <v>45</v>
      </c>
      <c r="E35" s="61">
        <v>126</v>
      </c>
      <c r="F35" s="25">
        <v>100</v>
      </c>
      <c r="G35" s="25">
        <v>100</v>
      </c>
      <c r="H35" s="85">
        <v>45</v>
      </c>
      <c r="I35" s="85">
        <v>126</v>
      </c>
      <c r="J35" s="61">
        <v>0</v>
      </c>
      <c r="K35" s="61">
        <v>0</v>
      </c>
      <c r="L35" s="61">
        <v>45</v>
      </c>
      <c r="M35" s="61">
        <v>126</v>
      </c>
      <c r="N35" s="25">
        <v>100</v>
      </c>
      <c r="O35" s="25">
        <v>100</v>
      </c>
      <c r="P35" s="85">
        <v>45</v>
      </c>
      <c r="Q35" s="85">
        <v>126</v>
      </c>
    </row>
    <row r="36" spans="1:17">
      <c r="A36" s="25" t="s">
        <v>390</v>
      </c>
      <c r="B36" s="61">
        <v>1</v>
      </c>
      <c r="C36" s="61">
        <v>4</v>
      </c>
      <c r="D36" s="61">
        <v>1</v>
      </c>
      <c r="E36" s="61">
        <v>2</v>
      </c>
      <c r="F36" s="25">
        <v>50</v>
      </c>
      <c r="G36" s="25">
        <v>33.299999999999997</v>
      </c>
      <c r="H36" s="85">
        <v>2</v>
      </c>
      <c r="I36" s="85">
        <v>6</v>
      </c>
      <c r="J36" s="61">
        <v>1</v>
      </c>
      <c r="K36" s="61">
        <v>4</v>
      </c>
      <c r="L36" s="61">
        <v>1</v>
      </c>
      <c r="M36" s="61">
        <v>2</v>
      </c>
      <c r="N36" s="25">
        <v>50</v>
      </c>
      <c r="O36" s="25">
        <v>33.299999999999997</v>
      </c>
      <c r="P36" s="85">
        <v>2</v>
      </c>
      <c r="Q36" s="85">
        <v>6</v>
      </c>
    </row>
    <row r="37" spans="1:17">
      <c r="A37" s="25" t="s">
        <v>259</v>
      </c>
      <c r="B37" s="61">
        <v>82</v>
      </c>
      <c r="C37" s="61">
        <v>251</v>
      </c>
      <c r="D37" s="61">
        <v>80</v>
      </c>
      <c r="E37" s="61">
        <v>92</v>
      </c>
      <c r="F37" s="25">
        <v>49.4</v>
      </c>
      <c r="G37" s="25">
        <v>26.8</v>
      </c>
      <c r="H37" s="85">
        <v>162</v>
      </c>
      <c r="I37" s="85">
        <v>343</v>
      </c>
      <c r="J37" s="61">
        <v>82</v>
      </c>
      <c r="K37" s="61">
        <v>251</v>
      </c>
      <c r="L37" s="61">
        <v>80</v>
      </c>
      <c r="M37" s="61">
        <v>92</v>
      </c>
      <c r="N37" s="25">
        <v>49.4</v>
      </c>
      <c r="O37" s="25">
        <v>26.8</v>
      </c>
      <c r="P37" s="85">
        <v>162</v>
      </c>
      <c r="Q37" s="85">
        <v>343</v>
      </c>
    </row>
    <row r="38" spans="1:17">
      <c r="A38" s="25" t="s">
        <v>466</v>
      </c>
      <c r="B38" s="61">
        <v>0</v>
      </c>
      <c r="C38" s="61">
        <v>1</v>
      </c>
      <c r="D38" s="61">
        <v>0</v>
      </c>
      <c r="E38" s="61">
        <v>1</v>
      </c>
      <c r="F38" s="25">
        <v>0</v>
      </c>
      <c r="G38" s="25">
        <v>50</v>
      </c>
      <c r="H38" s="85">
        <v>0</v>
      </c>
      <c r="I38" s="85">
        <v>2</v>
      </c>
      <c r="J38" s="61">
        <v>0</v>
      </c>
      <c r="K38" s="61">
        <v>1</v>
      </c>
      <c r="L38" s="61">
        <v>0</v>
      </c>
      <c r="M38" s="61">
        <v>1</v>
      </c>
      <c r="N38" s="25">
        <v>0</v>
      </c>
      <c r="O38" s="25">
        <v>50</v>
      </c>
      <c r="P38" s="85">
        <v>0</v>
      </c>
      <c r="Q38" s="85">
        <v>2</v>
      </c>
    </row>
    <row r="39" spans="1:17">
      <c r="A39" s="25" t="s">
        <v>357</v>
      </c>
      <c r="B39" s="61">
        <v>151</v>
      </c>
      <c r="C39" s="61">
        <v>199</v>
      </c>
      <c r="D39" s="61">
        <v>929</v>
      </c>
      <c r="E39" s="61">
        <v>418</v>
      </c>
      <c r="F39" s="25">
        <v>86</v>
      </c>
      <c r="G39" s="25">
        <v>67.7</v>
      </c>
      <c r="H39" s="85">
        <v>1080</v>
      </c>
      <c r="I39" s="85">
        <v>617</v>
      </c>
      <c r="J39" s="61">
        <v>151</v>
      </c>
      <c r="K39" s="61">
        <v>199</v>
      </c>
      <c r="L39" s="61">
        <v>929</v>
      </c>
      <c r="M39" s="61">
        <v>418</v>
      </c>
      <c r="N39" s="25">
        <v>86</v>
      </c>
      <c r="O39" s="25">
        <v>67.7</v>
      </c>
      <c r="P39" s="85">
        <v>1080</v>
      </c>
      <c r="Q39" s="85">
        <v>617</v>
      </c>
    </row>
    <row r="40" spans="1:17">
      <c r="A40" s="25" t="s">
        <v>260</v>
      </c>
      <c r="B40" s="61">
        <v>1</v>
      </c>
      <c r="C40" s="61">
        <v>3</v>
      </c>
      <c r="D40" s="61">
        <v>1</v>
      </c>
      <c r="E40" s="61">
        <v>2</v>
      </c>
      <c r="F40" s="25">
        <v>50</v>
      </c>
      <c r="G40" s="25">
        <v>40</v>
      </c>
      <c r="H40" s="85">
        <v>2</v>
      </c>
      <c r="I40" s="85">
        <v>5</v>
      </c>
      <c r="J40" s="61">
        <v>1</v>
      </c>
      <c r="K40" s="61">
        <v>3</v>
      </c>
      <c r="L40" s="61">
        <v>1</v>
      </c>
      <c r="M40" s="61">
        <v>2</v>
      </c>
      <c r="N40" s="25">
        <v>50</v>
      </c>
      <c r="O40" s="25">
        <v>40</v>
      </c>
      <c r="P40" s="85">
        <v>2</v>
      </c>
      <c r="Q40" s="85">
        <v>5</v>
      </c>
    </row>
    <row r="41" spans="1:17">
      <c r="A41" s="25" t="s">
        <v>546</v>
      </c>
      <c r="B41" s="61">
        <v>26</v>
      </c>
      <c r="C41" s="61">
        <v>191</v>
      </c>
      <c r="D41" s="61">
        <v>299</v>
      </c>
      <c r="E41" s="61">
        <v>34</v>
      </c>
      <c r="F41" s="25">
        <v>92</v>
      </c>
      <c r="G41" s="25">
        <v>15.1</v>
      </c>
      <c r="H41" s="85">
        <v>325</v>
      </c>
      <c r="I41" s="85">
        <v>225</v>
      </c>
      <c r="J41" s="61">
        <v>26</v>
      </c>
      <c r="K41" s="61">
        <v>191</v>
      </c>
      <c r="L41" s="61">
        <v>299</v>
      </c>
      <c r="M41" s="61">
        <v>34</v>
      </c>
      <c r="N41" s="25">
        <v>92</v>
      </c>
      <c r="O41" s="25">
        <v>15.1</v>
      </c>
      <c r="P41" s="85">
        <v>325</v>
      </c>
      <c r="Q41" s="85">
        <v>225</v>
      </c>
    </row>
    <row r="42" spans="1:17">
      <c r="A42" s="25" t="s">
        <v>261</v>
      </c>
      <c r="B42" s="61">
        <v>38</v>
      </c>
      <c r="C42" s="61">
        <v>36</v>
      </c>
      <c r="D42" s="61">
        <v>34</v>
      </c>
      <c r="E42" s="61">
        <v>70</v>
      </c>
      <c r="F42" s="25">
        <v>47.2</v>
      </c>
      <c r="G42" s="25">
        <v>66</v>
      </c>
      <c r="H42" s="85">
        <v>72</v>
      </c>
      <c r="I42" s="85">
        <v>106</v>
      </c>
      <c r="J42" s="61">
        <v>38</v>
      </c>
      <c r="K42" s="61">
        <v>36</v>
      </c>
      <c r="L42" s="61">
        <v>34</v>
      </c>
      <c r="M42" s="61">
        <v>70</v>
      </c>
      <c r="N42" s="25">
        <v>47.2</v>
      </c>
      <c r="O42" s="25">
        <v>66</v>
      </c>
      <c r="P42" s="85">
        <v>72</v>
      </c>
      <c r="Q42" s="85">
        <v>106</v>
      </c>
    </row>
    <row r="43" spans="1:17">
      <c r="A43" s="25" t="s">
        <v>262</v>
      </c>
      <c r="B43" s="61">
        <v>14</v>
      </c>
      <c r="C43" s="61">
        <v>1</v>
      </c>
      <c r="D43" s="61">
        <v>44</v>
      </c>
      <c r="E43" s="61">
        <v>42</v>
      </c>
      <c r="F43" s="25">
        <v>75.900000000000006</v>
      </c>
      <c r="G43" s="25">
        <v>97.7</v>
      </c>
      <c r="H43" s="85">
        <v>58</v>
      </c>
      <c r="I43" s="85">
        <v>43</v>
      </c>
      <c r="J43" s="61">
        <v>14</v>
      </c>
      <c r="K43" s="61">
        <v>1</v>
      </c>
      <c r="L43" s="61">
        <v>44</v>
      </c>
      <c r="M43" s="61">
        <v>42</v>
      </c>
      <c r="N43" s="25">
        <v>75.900000000000006</v>
      </c>
      <c r="O43" s="25">
        <v>97.7</v>
      </c>
      <c r="P43" s="85">
        <v>58</v>
      </c>
      <c r="Q43" s="85">
        <v>43</v>
      </c>
    </row>
    <row r="44" spans="1:17">
      <c r="A44" s="25" t="s">
        <v>983</v>
      </c>
      <c r="B44" s="61">
        <v>1</v>
      </c>
      <c r="C44" s="61">
        <v>0</v>
      </c>
      <c r="D44" s="61">
        <v>2</v>
      </c>
      <c r="E44" s="61">
        <v>1</v>
      </c>
      <c r="F44" s="25">
        <v>66.7</v>
      </c>
      <c r="G44" s="25">
        <v>100</v>
      </c>
      <c r="H44" s="85">
        <v>3</v>
      </c>
      <c r="I44" s="85">
        <v>1</v>
      </c>
      <c r="J44" s="61">
        <v>1</v>
      </c>
      <c r="K44" s="61">
        <v>0</v>
      </c>
      <c r="L44" s="61">
        <v>2</v>
      </c>
      <c r="M44" s="61">
        <v>1</v>
      </c>
      <c r="N44" s="25">
        <v>66.7</v>
      </c>
      <c r="O44" s="25">
        <v>100</v>
      </c>
      <c r="P44" s="85">
        <v>3</v>
      </c>
      <c r="Q44" s="85">
        <v>1</v>
      </c>
    </row>
    <row r="45" spans="1:17">
      <c r="A45" s="25" t="s">
        <v>263</v>
      </c>
      <c r="B45" s="61">
        <v>165</v>
      </c>
      <c r="C45" s="61">
        <v>107</v>
      </c>
      <c r="D45" s="61">
        <v>182</v>
      </c>
      <c r="E45" s="61">
        <v>89</v>
      </c>
      <c r="F45" s="25">
        <v>52.4</v>
      </c>
      <c r="G45" s="25">
        <v>45.4</v>
      </c>
      <c r="H45" s="85">
        <v>347</v>
      </c>
      <c r="I45" s="85">
        <v>196</v>
      </c>
      <c r="J45" s="61">
        <v>165</v>
      </c>
      <c r="K45" s="61">
        <v>107</v>
      </c>
      <c r="L45" s="61">
        <v>182</v>
      </c>
      <c r="M45" s="61">
        <v>89</v>
      </c>
      <c r="N45" s="25">
        <v>52.4</v>
      </c>
      <c r="O45" s="25">
        <v>45.4</v>
      </c>
      <c r="P45" s="85">
        <v>347</v>
      </c>
      <c r="Q45" s="85">
        <v>196</v>
      </c>
    </row>
    <row r="46" spans="1:17">
      <c r="A46" s="25" t="s">
        <v>264</v>
      </c>
      <c r="B46" s="61">
        <v>87</v>
      </c>
      <c r="C46" s="61">
        <v>22</v>
      </c>
      <c r="D46" s="61">
        <v>100</v>
      </c>
      <c r="E46" s="61">
        <v>79</v>
      </c>
      <c r="F46" s="25">
        <v>53.5</v>
      </c>
      <c r="G46" s="25">
        <v>78.2</v>
      </c>
      <c r="H46" s="85">
        <v>187</v>
      </c>
      <c r="I46" s="85">
        <v>101</v>
      </c>
      <c r="J46" s="61">
        <v>87</v>
      </c>
      <c r="K46" s="61">
        <v>22</v>
      </c>
      <c r="L46" s="61">
        <v>100</v>
      </c>
      <c r="M46" s="61">
        <v>79</v>
      </c>
      <c r="N46" s="25">
        <v>53.5</v>
      </c>
      <c r="O46" s="25">
        <v>78.2</v>
      </c>
      <c r="P46" s="85">
        <v>187</v>
      </c>
      <c r="Q46" s="85">
        <v>101</v>
      </c>
    </row>
    <row r="47" spans="1:17">
      <c r="A47" s="25" t="s">
        <v>961</v>
      </c>
      <c r="B47" s="61">
        <v>29</v>
      </c>
      <c r="C47" s="61">
        <v>1</v>
      </c>
      <c r="D47" s="61">
        <v>0</v>
      </c>
      <c r="E47" s="61">
        <v>9</v>
      </c>
      <c r="F47" s="25">
        <v>0</v>
      </c>
      <c r="G47" s="25">
        <v>90</v>
      </c>
      <c r="H47" s="85">
        <v>29</v>
      </c>
      <c r="I47" s="85">
        <v>10</v>
      </c>
      <c r="J47" s="61">
        <v>29</v>
      </c>
      <c r="K47" s="61">
        <v>1</v>
      </c>
      <c r="L47" s="61">
        <v>0</v>
      </c>
      <c r="M47" s="61">
        <v>9</v>
      </c>
      <c r="N47" s="25">
        <v>0</v>
      </c>
      <c r="O47" s="25">
        <v>90</v>
      </c>
      <c r="P47" s="85">
        <v>29</v>
      </c>
      <c r="Q47" s="85">
        <v>10</v>
      </c>
    </row>
    <row r="48" spans="1:17">
      <c r="A48" s="25" t="s">
        <v>265</v>
      </c>
      <c r="B48" s="61">
        <v>240</v>
      </c>
      <c r="C48" s="61">
        <v>62</v>
      </c>
      <c r="D48" s="61">
        <v>270</v>
      </c>
      <c r="E48" s="61">
        <v>372</v>
      </c>
      <c r="F48" s="25">
        <v>52.9</v>
      </c>
      <c r="G48" s="25">
        <v>85.7</v>
      </c>
      <c r="H48" s="85">
        <v>510</v>
      </c>
      <c r="I48" s="85">
        <v>434</v>
      </c>
      <c r="J48" s="61">
        <v>240</v>
      </c>
      <c r="K48" s="61">
        <v>62</v>
      </c>
      <c r="L48" s="61">
        <v>270</v>
      </c>
      <c r="M48" s="61">
        <v>372</v>
      </c>
      <c r="N48" s="25">
        <v>52.9</v>
      </c>
      <c r="O48" s="25">
        <v>85.7</v>
      </c>
      <c r="P48" s="85">
        <v>510</v>
      </c>
      <c r="Q48" s="85">
        <v>434</v>
      </c>
    </row>
    <row r="49" spans="1:17">
      <c r="A49" s="25" t="s">
        <v>303</v>
      </c>
      <c r="B49" s="61">
        <v>23</v>
      </c>
      <c r="C49" s="61">
        <v>20</v>
      </c>
      <c r="D49" s="61">
        <v>209</v>
      </c>
      <c r="E49" s="61">
        <v>77</v>
      </c>
      <c r="F49" s="25">
        <v>90.1</v>
      </c>
      <c r="G49" s="25">
        <v>79.400000000000006</v>
      </c>
      <c r="H49" s="85">
        <v>232</v>
      </c>
      <c r="I49" s="85">
        <v>97</v>
      </c>
      <c r="J49" s="61">
        <v>23</v>
      </c>
      <c r="K49" s="61">
        <v>20</v>
      </c>
      <c r="L49" s="61">
        <v>209</v>
      </c>
      <c r="M49" s="61">
        <v>77</v>
      </c>
      <c r="N49" s="25">
        <v>90.1</v>
      </c>
      <c r="O49" s="25">
        <v>79.400000000000006</v>
      </c>
      <c r="P49" s="85">
        <v>232</v>
      </c>
      <c r="Q49" s="85">
        <v>97</v>
      </c>
    </row>
    <row r="50" spans="1:17">
      <c r="A50" s="25" t="s">
        <v>266</v>
      </c>
      <c r="B50" s="61">
        <v>98</v>
      </c>
      <c r="C50" s="61">
        <v>115</v>
      </c>
      <c r="D50" s="61">
        <v>128</v>
      </c>
      <c r="E50" s="61">
        <v>145</v>
      </c>
      <c r="F50" s="25">
        <v>56.6</v>
      </c>
      <c r="G50" s="25">
        <v>55.8</v>
      </c>
      <c r="H50" s="85">
        <v>226</v>
      </c>
      <c r="I50" s="85">
        <v>260</v>
      </c>
      <c r="J50" s="61">
        <v>98</v>
      </c>
      <c r="K50" s="61">
        <v>115</v>
      </c>
      <c r="L50" s="61">
        <v>128</v>
      </c>
      <c r="M50" s="61">
        <v>145</v>
      </c>
      <c r="N50" s="25">
        <v>56.6</v>
      </c>
      <c r="O50" s="25">
        <v>55.8</v>
      </c>
      <c r="P50" s="85">
        <v>226</v>
      </c>
      <c r="Q50" s="85">
        <v>260</v>
      </c>
    </row>
    <row r="51" spans="1:17">
      <c r="A51" s="25" t="s">
        <v>267</v>
      </c>
      <c r="B51" s="61">
        <v>57</v>
      </c>
      <c r="C51" s="61">
        <v>116</v>
      </c>
      <c r="D51" s="61">
        <v>145</v>
      </c>
      <c r="E51" s="61">
        <v>216</v>
      </c>
      <c r="F51" s="25">
        <v>71.8</v>
      </c>
      <c r="G51" s="25">
        <v>65.099999999999994</v>
      </c>
      <c r="H51" s="85">
        <v>202</v>
      </c>
      <c r="I51" s="85">
        <v>332</v>
      </c>
      <c r="J51" s="61">
        <v>57</v>
      </c>
      <c r="K51" s="61">
        <v>116</v>
      </c>
      <c r="L51" s="61">
        <v>145</v>
      </c>
      <c r="M51" s="61">
        <v>216</v>
      </c>
      <c r="N51" s="25">
        <v>71.8</v>
      </c>
      <c r="O51" s="25">
        <v>65.099999999999994</v>
      </c>
      <c r="P51" s="85">
        <v>202</v>
      </c>
      <c r="Q51" s="85">
        <v>332</v>
      </c>
    </row>
    <row r="52" spans="1:17">
      <c r="A52" s="25" t="s">
        <v>268</v>
      </c>
      <c r="B52" s="61">
        <v>56</v>
      </c>
      <c r="C52" s="61">
        <v>109</v>
      </c>
      <c r="D52" s="61">
        <v>90</v>
      </c>
      <c r="E52" s="61">
        <v>81</v>
      </c>
      <c r="F52" s="25">
        <v>61.6</v>
      </c>
      <c r="G52" s="25">
        <v>42.6</v>
      </c>
      <c r="H52" s="85">
        <v>146</v>
      </c>
      <c r="I52" s="85">
        <v>190</v>
      </c>
      <c r="J52" s="61">
        <v>56</v>
      </c>
      <c r="K52" s="61">
        <v>109</v>
      </c>
      <c r="L52" s="61">
        <v>90</v>
      </c>
      <c r="M52" s="61">
        <v>81</v>
      </c>
      <c r="N52" s="25">
        <v>61.6</v>
      </c>
      <c r="O52" s="25">
        <v>42.6</v>
      </c>
      <c r="P52" s="85">
        <v>146</v>
      </c>
      <c r="Q52" s="85">
        <v>190</v>
      </c>
    </row>
    <row r="53" spans="1:17">
      <c r="A53" s="25" t="s">
        <v>269</v>
      </c>
      <c r="B53" s="61">
        <v>180</v>
      </c>
      <c r="C53" s="61">
        <v>175</v>
      </c>
      <c r="D53" s="61">
        <v>496</v>
      </c>
      <c r="E53" s="61">
        <v>390</v>
      </c>
      <c r="F53" s="58">
        <v>73.400000000000006</v>
      </c>
      <c r="G53" s="58">
        <v>69</v>
      </c>
      <c r="H53" s="85">
        <v>676</v>
      </c>
      <c r="I53" s="85">
        <v>565</v>
      </c>
      <c r="J53" s="61">
        <v>180</v>
      </c>
      <c r="K53" s="61">
        <v>175</v>
      </c>
      <c r="L53" s="61">
        <v>496</v>
      </c>
      <c r="M53" s="61">
        <v>390</v>
      </c>
      <c r="N53" s="58">
        <v>73.400000000000006</v>
      </c>
      <c r="O53" s="58">
        <v>69</v>
      </c>
      <c r="P53" s="85">
        <v>676</v>
      </c>
      <c r="Q53" s="85">
        <v>565</v>
      </c>
    </row>
    <row r="54" spans="1:17">
      <c r="A54" s="25" t="s">
        <v>1073</v>
      </c>
      <c r="B54" s="61">
        <v>0</v>
      </c>
      <c r="C54" s="61">
        <v>0</v>
      </c>
      <c r="D54" s="61">
        <v>3</v>
      </c>
      <c r="E54" s="61">
        <v>0</v>
      </c>
      <c r="F54" s="25">
        <v>100</v>
      </c>
      <c r="G54" s="25">
        <v>0</v>
      </c>
      <c r="H54" s="85">
        <v>3</v>
      </c>
      <c r="I54" s="85">
        <v>0</v>
      </c>
      <c r="J54" s="61">
        <v>0</v>
      </c>
      <c r="K54" s="61">
        <v>0</v>
      </c>
      <c r="L54" s="61">
        <v>3</v>
      </c>
      <c r="M54" s="61">
        <v>0</v>
      </c>
      <c r="N54" s="25">
        <v>100</v>
      </c>
      <c r="O54" s="25">
        <v>0</v>
      </c>
      <c r="P54" s="85">
        <v>3</v>
      </c>
      <c r="Q54" s="85">
        <v>0</v>
      </c>
    </row>
    <row r="55" spans="1:17">
      <c r="A55" s="25" t="s">
        <v>270</v>
      </c>
      <c r="B55" s="61">
        <v>195</v>
      </c>
      <c r="C55" s="61">
        <v>54</v>
      </c>
      <c r="D55" s="61">
        <v>153</v>
      </c>
      <c r="E55" s="61">
        <v>79</v>
      </c>
      <c r="F55" s="25">
        <v>44</v>
      </c>
      <c r="G55" s="25">
        <v>59.4</v>
      </c>
      <c r="H55" s="85">
        <v>348</v>
      </c>
      <c r="I55" s="85">
        <v>133</v>
      </c>
      <c r="J55" s="61">
        <v>195</v>
      </c>
      <c r="K55" s="61">
        <v>54</v>
      </c>
      <c r="L55" s="61">
        <v>153</v>
      </c>
      <c r="M55" s="61">
        <v>79</v>
      </c>
      <c r="N55" s="25">
        <v>44</v>
      </c>
      <c r="O55" s="25">
        <v>59.4</v>
      </c>
      <c r="P55" s="85">
        <v>348</v>
      </c>
      <c r="Q55" s="85">
        <v>133</v>
      </c>
    </row>
    <row r="56" spans="1:17">
      <c r="A56" s="25" t="s">
        <v>271</v>
      </c>
      <c r="B56" s="61">
        <v>23</v>
      </c>
      <c r="C56" s="61">
        <v>29</v>
      </c>
      <c r="D56" s="61">
        <v>61</v>
      </c>
      <c r="E56" s="61">
        <v>41</v>
      </c>
      <c r="F56" s="58">
        <v>72.599999999999994</v>
      </c>
      <c r="G56" s="58">
        <v>58.6</v>
      </c>
      <c r="H56" s="85">
        <v>84</v>
      </c>
      <c r="I56" s="85">
        <v>70</v>
      </c>
      <c r="J56" s="61">
        <v>23</v>
      </c>
      <c r="K56" s="61">
        <v>29</v>
      </c>
      <c r="L56" s="61">
        <v>61</v>
      </c>
      <c r="M56" s="61">
        <v>41</v>
      </c>
      <c r="N56" s="58">
        <v>72.599999999999994</v>
      </c>
      <c r="O56" s="58">
        <v>58.6</v>
      </c>
      <c r="P56" s="85">
        <v>84</v>
      </c>
      <c r="Q56" s="85">
        <v>70</v>
      </c>
    </row>
    <row r="57" spans="1:17">
      <c r="A57" s="25" t="s">
        <v>272</v>
      </c>
      <c r="B57" s="61">
        <v>150</v>
      </c>
      <c r="C57" s="61">
        <v>73</v>
      </c>
      <c r="D57" s="61">
        <v>580</v>
      </c>
      <c r="E57" s="61">
        <v>152</v>
      </c>
      <c r="F57" s="25">
        <v>79.5</v>
      </c>
      <c r="G57" s="25">
        <v>67.599999999999994</v>
      </c>
      <c r="H57" s="85">
        <v>730</v>
      </c>
      <c r="I57" s="85">
        <v>225</v>
      </c>
      <c r="J57" s="61">
        <v>150</v>
      </c>
      <c r="K57" s="61">
        <v>73</v>
      </c>
      <c r="L57" s="61">
        <v>580</v>
      </c>
      <c r="M57" s="61">
        <v>152</v>
      </c>
      <c r="N57" s="25">
        <v>79.5</v>
      </c>
      <c r="O57" s="25">
        <v>67.599999999999994</v>
      </c>
      <c r="P57" s="85">
        <v>730</v>
      </c>
      <c r="Q57" s="85">
        <v>225</v>
      </c>
    </row>
    <row r="58" spans="1:17">
      <c r="A58" s="25" t="s">
        <v>273</v>
      </c>
      <c r="B58" s="61">
        <v>740</v>
      </c>
      <c r="C58" s="61">
        <v>828</v>
      </c>
      <c r="D58" s="61">
        <v>969</v>
      </c>
      <c r="E58" s="61">
        <v>611</v>
      </c>
      <c r="F58" s="25">
        <v>56.7</v>
      </c>
      <c r="G58" s="25">
        <v>42.5</v>
      </c>
      <c r="H58" s="85">
        <v>1709</v>
      </c>
      <c r="I58" s="85">
        <v>1439</v>
      </c>
      <c r="J58" s="61">
        <v>740</v>
      </c>
      <c r="K58" s="61">
        <v>828</v>
      </c>
      <c r="L58" s="61">
        <v>969</v>
      </c>
      <c r="M58" s="61">
        <v>611</v>
      </c>
      <c r="N58" s="25">
        <v>56.7</v>
      </c>
      <c r="O58" s="25">
        <v>42.5</v>
      </c>
      <c r="P58" s="85">
        <v>1709</v>
      </c>
      <c r="Q58" s="85">
        <v>1439</v>
      </c>
    </row>
    <row r="59" spans="1:17">
      <c r="A59" s="25" t="s">
        <v>274</v>
      </c>
      <c r="B59" s="61">
        <v>295</v>
      </c>
      <c r="C59" s="61">
        <v>444</v>
      </c>
      <c r="D59" s="61">
        <v>1704</v>
      </c>
      <c r="E59" s="61">
        <v>945</v>
      </c>
      <c r="F59" s="25">
        <v>85.2</v>
      </c>
      <c r="G59" s="25">
        <v>68</v>
      </c>
      <c r="H59" s="85">
        <v>1999</v>
      </c>
      <c r="I59" s="85">
        <v>1389</v>
      </c>
      <c r="J59" s="61">
        <v>295</v>
      </c>
      <c r="K59" s="61">
        <v>444</v>
      </c>
      <c r="L59" s="61">
        <v>1704</v>
      </c>
      <c r="M59" s="61">
        <v>945</v>
      </c>
      <c r="N59" s="25">
        <v>85.2</v>
      </c>
      <c r="O59" s="25">
        <v>68</v>
      </c>
      <c r="P59" s="85">
        <v>1999</v>
      </c>
      <c r="Q59" s="85">
        <v>1389</v>
      </c>
    </row>
    <row r="60" spans="1:17">
      <c r="A60" s="144" t="s">
        <v>275</v>
      </c>
      <c r="B60" s="145">
        <v>437</v>
      </c>
      <c r="C60" s="145">
        <v>1107</v>
      </c>
      <c r="D60" s="145">
        <v>2642</v>
      </c>
      <c r="E60" s="145">
        <v>1919</v>
      </c>
      <c r="F60" s="144">
        <v>85.8</v>
      </c>
      <c r="G60" s="144">
        <v>63.4</v>
      </c>
      <c r="H60" s="147">
        <v>3079</v>
      </c>
      <c r="I60" s="147">
        <v>3026</v>
      </c>
      <c r="J60" s="145">
        <v>437</v>
      </c>
      <c r="K60" s="145">
        <v>1107</v>
      </c>
      <c r="L60" s="145">
        <v>2642</v>
      </c>
      <c r="M60" s="145">
        <v>1919</v>
      </c>
      <c r="N60" s="144">
        <v>85.8</v>
      </c>
      <c r="O60" s="144">
        <v>63.4</v>
      </c>
      <c r="P60" s="147">
        <v>3079</v>
      </c>
      <c r="Q60" s="147">
        <v>3026</v>
      </c>
    </row>
    <row r="61" spans="1:17">
      <c r="A61" s="144" t="s">
        <v>1025</v>
      </c>
      <c r="B61" s="145">
        <v>2</v>
      </c>
      <c r="C61" s="145">
        <v>0</v>
      </c>
      <c r="D61" s="145">
        <v>34</v>
      </c>
      <c r="E61" s="145">
        <v>0</v>
      </c>
      <c r="F61" s="146">
        <v>94.4</v>
      </c>
      <c r="G61" s="146">
        <v>0</v>
      </c>
      <c r="H61" s="147">
        <v>36</v>
      </c>
      <c r="I61" s="147">
        <v>0</v>
      </c>
      <c r="J61" s="145">
        <v>2</v>
      </c>
      <c r="K61" s="145">
        <v>0</v>
      </c>
      <c r="L61" s="145">
        <v>34</v>
      </c>
      <c r="M61" s="145">
        <v>0</v>
      </c>
      <c r="N61" s="146">
        <v>94.4</v>
      </c>
      <c r="O61" s="146">
        <v>0</v>
      </c>
      <c r="P61" s="147">
        <v>36</v>
      </c>
      <c r="Q61" s="147">
        <v>0</v>
      </c>
    </row>
    <row r="62" spans="1:17">
      <c r="A62" s="144" t="s">
        <v>276</v>
      </c>
      <c r="B62" s="145">
        <v>17</v>
      </c>
      <c r="C62" s="145">
        <v>2</v>
      </c>
      <c r="D62" s="145">
        <v>119</v>
      </c>
      <c r="E62" s="145">
        <v>4</v>
      </c>
      <c r="F62" s="144">
        <v>87.5</v>
      </c>
      <c r="G62" s="144">
        <v>66.7</v>
      </c>
      <c r="H62" s="147">
        <v>136</v>
      </c>
      <c r="I62" s="147">
        <v>6</v>
      </c>
      <c r="J62" s="145">
        <v>17</v>
      </c>
      <c r="K62" s="145">
        <v>2</v>
      </c>
      <c r="L62" s="145">
        <v>119</v>
      </c>
      <c r="M62" s="145">
        <v>4</v>
      </c>
      <c r="N62" s="144">
        <v>87.5</v>
      </c>
      <c r="O62" s="144">
        <v>66.7</v>
      </c>
      <c r="P62" s="147">
        <v>136</v>
      </c>
      <c r="Q62" s="147">
        <v>6</v>
      </c>
    </row>
    <row r="63" spans="1:17">
      <c r="A63" s="144" t="s">
        <v>425</v>
      </c>
      <c r="B63" s="145">
        <f>SUBTOTAL(109,getAggFysJur[antalFysiska])</f>
        <v>4702</v>
      </c>
      <c r="C63" s="145">
        <f>SUBTOTAL(109,getAggFysJur[antalFysiskaFG])</f>
        <v>5549</v>
      </c>
      <c r="D63" s="145">
        <f>SUBTOTAL(109,getAggFysJur[antalJuridiska])</f>
        <v>12462</v>
      </c>
      <c r="E63" s="145">
        <f>SUBTOTAL(109,getAggFysJur[antalJuridiskaFG])</f>
        <v>9052</v>
      </c>
      <c r="F63" s="146">
        <f>IF(getAggFysJur[[#Totals],[totalPerioden]] &gt; 0,( getAggFysJur[[#Totals],[antalJuridiska]]  ) / getAggFysJur[[#Totals],[totalPerioden]] * 100,0)</f>
        <v>72.605453274295044</v>
      </c>
      <c r="G63" s="146">
        <f>IF(getAggFysJur[[#Totals],[totalPeriodenFG]] &gt; 0,( getAggFysJur[[#Totals],[antalJuridiskaFG]] ) / getAggFysJur[[#Totals],[totalPeriodenFG]] * 100,0)</f>
        <v>61.995753715498935</v>
      </c>
      <c r="H63" s="147">
        <f>SUBTOTAL(109,getAggFysJur[totalPerioden])</f>
        <v>17164</v>
      </c>
      <c r="I63" s="147">
        <f>SUBTOTAL(109,getAggFysJur[totalPeriodenFG])</f>
        <v>14601</v>
      </c>
      <c r="J63" s="145">
        <f>SUBTOTAL(109,getAggFysJur[antalFysiskaAret])</f>
        <v>4702</v>
      </c>
      <c r="K63" s="145">
        <f>SUBTOTAL(109,getAggFysJur[antalFysiskaAretFG])</f>
        <v>5549</v>
      </c>
      <c r="L63" s="145">
        <f>SUBTOTAL(109,getAggFysJur[antalJuridiskaAret])</f>
        <v>12462</v>
      </c>
      <c r="M63" s="145">
        <f>SUBTOTAL(109,getAggFysJur[antalJuridiskaAretFG])</f>
        <v>9052</v>
      </c>
      <c r="N63" s="146">
        <f>IF(getAggFysJur[[#Totals],[totalAret]] &gt; 0,( getAggFysJur[[#Totals],[antalJuridiskaAret]] ) / getAggFysJur[[#Totals],[totalAret]] * 100,0)</f>
        <v>72.605453274295044</v>
      </c>
      <c r="O63" s="146">
        <f>IF(getAggFysJur[[#Totals],[totalAretFG]] &gt; 0,( getAggFysJur[[#Totals],[antalJuridiskaAretFG]] ) / getAggFysJur[[#Totals],[totalAretFG]] * 100,0)</f>
        <v>61.995753715498935</v>
      </c>
      <c r="P63" s="147">
        <f>SUBTOTAL(109,getAggFysJur[totalAret])</f>
        <v>17164</v>
      </c>
      <c r="Q63" s="147">
        <f>SUBTOTAL(109,getAggFysJur[totalAretFG])</f>
        <v>14601</v>
      </c>
    </row>
    <row r="64" spans="1:17">
      <c r="A64" s="144"/>
      <c r="B64" s="145"/>
      <c r="C64" s="145"/>
      <c r="D64" s="145"/>
      <c r="E64" s="145"/>
      <c r="F64" s="146"/>
      <c r="G64" s="146"/>
      <c r="H64" s="147"/>
      <c r="I64" s="147"/>
      <c r="J64" s="145"/>
      <c r="K64" s="145"/>
      <c r="L64" s="145"/>
      <c r="M64" s="145"/>
      <c r="N64" s="146"/>
      <c r="O64" s="146"/>
      <c r="P64" s="147"/>
      <c r="Q64" s="147"/>
    </row>
    <row r="65" spans="1:17">
      <c r="A65" s="144"/>
      <c r="B65" s="145"/>
      <c r="C65" s="145"/>
      <c r="D65" s="145"/>
      <c r="E65" s="145"/>
      <c r="F65" s="144"/>
      <c r="G65" s="144"/>
      <c r="H65" s="147"/>
      <c r="I65" s="147"/>
      <c r="J65" s="145"/>
      <c r="K65" s="145"/>
      <c r="L65" s="145"/>
      <c r="M65" s="145"/>
      <c r="N65" s="144"/>
      <c r="O65" s="144"/>
      <c r="P65" s="147"/>
      <c r="Q65" s="147"/>
    </row>
    <row r="66" spans="1:17">
      <c r="A66" s="144"/>
      <c r="B66" s="145"/>
      <c r="C66" s="145"/>
      <c r="D66" s="145"/>
      <c r="E66" s="145"/>
      <c r="F66" s="144"/>
      <c r="G66" s="144"/>
      <c r="H66" s="147"/>
      <c r="I66" s="147"/>
      <c r="J66" s="145"/>
      <c r="K66" s="145"/>
      <c r="L66" s="145"/>
      <c r="M66" s="145"/>
      <c r="N66" s="144"/>
      <c r="O66" s="144"/>
      <c r="P66" s="147"/>
      <c r="Q66" s="147"/>
    </row>
    <row r="67" spans="1:17">
      <c r="A67" s="144"/>
      <c r="B67" s="145"/>
      <c r="C67" s="145"/>
      <c r="D67" s="145"/>
      <c r="E67" s="145"/>
      <c r="F67" s="144"/>
      <c r="G67" s="144"/>
      <c r="H67" s="147"/>
      <c r="I67" s="147"/>
      <c r="J67" s="145"/>
      <c r="K67" s="145"/>
      <c r="L67" s="145"/>
      <c r="M67" s="145"/>
      <c r="N67" s="144"/>
      <c r="O67" s="144"/>
      <c r="P67" s="147"/>
      <c r="Q67" s="147"/>
    </row>
    <row r="68" spans="1:17">
      <c r="A68" s="144"/>
      <c r="B68" s="145"/>
      <c r="C68" s="145"/>
      <c r="D68" s="145"/>
      <c r="E68" s="145"/>
      <c r="F68" s="144"/>
      <c r="G68" s="144"/>
      <c r="H68" s="147"/>
      <c r="I68" s="147"/>
      <c r="J68" s="145"/>
      <c r="K68" s="145"/>
      <c r="L68" s="145"/>
      <c r="M68" s="145"/>
      <c r="N68" s="144"/>
      <c r="O68" s="144"/>
      <c r="P68" s="147"/>
      <c r="Q68" s="147"/>
    </row>
    <row r="69" spans="1:17">
      <c r="A69" s="144"/>
      <c r="B69" s="145"/>
      <c r="C69" s="145"/>
      <c r="D69" s="145"/>
      <c r="E69" s="145"/>
      <c r="F69" s="144"/>
      <c r="G69" s="144"/>
      <c r="H69" s="147"/>
      <c r="I69" s="147"/>
      <c r="J69" s="145"/>
      <c r="K69" s="145"/>
      <c r="L69" s="145"/>
      <c r="M69" s="145"/>
      <c r="N69" s="144"/>
      <c r="O69" s="144"/>
      <c r="P69" s="147"/>
      <c r="Q69" s="147"/>
    </row>
    <row r="70" spans="1:17">
      <c r="A70" s="144"/>
      <c r="B70" s="145"/>
      <c r="C70" s="145"/>
      <c r="D70" s="145"/>
      <c r="E70" s="145"/>
      <c r="F70" s="144"/>
      <c r="G70" s="144"/>
      <c r="H70" s="147"/>
      <c r="I70" s="147"/>
      <c r="J70" s="145"/>
      <c r="K70" s="145"/>
      <c r="L70" s="145"/>
      <c r="M70" s="145"/>
      <c r="N70" s="144"/>
      <c r="O70" s="144"/>
      <c r="P70" s="147"/>
      <c r="Q70" s="147"/>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96" spans="1:1">
      <c r="A96" t="s">
        <v>620</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E22" sqref="E22"/>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435</v>
      </c>
      <c r="D2" s="56"/>
      <c r="E2" s="56"/>
      <c r="F2" s="56"/>
      <c r="H2"/>
      <c r="I2"/>
    </row>
    <row r="4" spans="1:9">
      <c r="A4" s="25"/>
      <c r="B4" s="61"/>
      <c r="C4" s="61"/>
      <c r="D4" s="61"/>
      <c r="E4" s="227" t="s">
        <v>423</v>
      </c>
      <c r="F4" s="227"/>
      <c r="G4" s="227"/>
      <c r="H4" s="25"/>
    </row>
    <row r="5" spans="1:9">
      <c r="A5" s="102"/>
      <c r="B5" s="247" t="s">
        <v>500</v>
      </c>
      <c r="C5" s="248"/>
      <c r="D5" s="247" t="s">
        <v>500</v>
      </c>
      <c r="E5" s="248"/>
      <c r="F5" s="271" t="s">
        <v>501</v>
      </c>
      <c r="G5" s="272"/>
      <c r="H5" s="58"/>
    </row>
    <row r="6" spans="1:9">
      <c r="A6" s="102" t="s">
        <v>436</v>
      </c>
      <c r="B6" s="103" t="str">
        <f>Innehåll!D79</f>
        <v xml:space="preserve"> 2024-01</v>
      </c>
      <c r="C6" s="103" t="str">
        <f>Innehåll!D80</f>
        <v xml:space="preserve"> 2023-01</v>
      </c>
      <c r="D6" s="103" t="str">
        <f>Innehåll!D81</f>
        <v>YTD  2024</v>
      </c>
      <c r="E6" s="103" t="str">
        <f>Innehåll!D82</f>
        <v>YTD  2023</v>
      </c>
      <c r="F6" s="129" t="str">
        <f>B6</f>
        <v xml:space="preserve"> 2024-01</v>
      </c>
      <c r="G6" s="117" t="str">
        <f>D6</f>
        <v>YTD  2024</v>
      </c>
      <c r="H6" s="58"/>
    </row>
    <row r="7" spans="1:9" hidden="1">
      <c r="A7" s="152" t="s">
        <v>309</v>
      </c>
      <c r="B7" s="145" t="s">
        <v>288</v>
      </c>
      <c r="C7" s="145" t="s">
        <v>308</v>
      </c>
      <c r="D7" s="145" t="s">
        <v>306</v>
      </c>
      <c r="E7" s="145" t="s">
        <v>307</v>
      </c>
      <c r="F7" s="144" t="s">
        <v>361</v>
      </c>
      <c r="G7" s="144" t="s">
        <v>362</v>
      </c>
      <c r="H7" s="25"/>
      <c r="I7"/>
    </row>
    <row r="8" spans="1:9">
      <c r="A8" s="153" t="s">
        <v>1048</v>
      </c>
      <c r="B8" s="145">
        <v>2690</v>
      </c>
      <c r="C8" s="145">
        <v>2356</v>
      </c>
      <c r="D8" s="145">
        <v>2690</v>
      </c>
      <c r="E8" s="145">
        <v>2356</v>
      </c>
      <c r="F8" s="154">
        <v>14.176570458404075</v>
      </c>
      <c r="G8" s="154">
        <v>14.176570458404075</v>
      </c>
      <c r="H8" s="25"/>
      <c r="I8"/>
    </row>
    <row r="9" spans="1:9">
      <c r="A9" s="155" t="s">
        <v>310</v>
      </c>
      <c r="B9" s="156">
        <v>11</v>
      </c>
      <c r="C9" s="156">
        <v>18</v>
      </c>
      <c r="D9" s="156">
        <v>11</v>
      </c>
      <c r="E9" s="156">
        <v>18</v>
      </c>
      <c r="F9" s="157">
        <v>-38.888888888888893</v>
      </c>
      <c r="G9" s="157">
        <v>-38.888888888888893</v>
      </c>
      <c r="H9" s="25"/>
      <c r="I9"/>
    </row>
    <row r="10" spans="1:9">
      <c r="A10" s="153" t="s">
        <v>311</v>
      </c>
      <c r="B10" s="145">
        <v>22</v>
      </c>
      <c r="C10" s="151">
        <v>22</v>
      </c>
      <c r="D10" s="151">
        <v>22</v>
      </c>
      <c r="E10" s="151">
        <v>22</v>
      </c>
      <c r="F10" s="154">
        <v>0</v>
      </c>
      <c r="G10" s="154">
        <v>0</v>
      </c>
      <c r="H10" s="25"/>
      <c r="I10"/>
    </row>
    <row r="11" spans="1:9">
      <c r="A11" s="153" t="s">
        <v>1049</v>
      </c>
      <c r="B11" s="145">
        <v>349</v>
      </c>
      <c r="C11" s="145">
        <v>455</v>
      </c>
      <c r="D11" s="145">
        <v>349</v>
      </c>
      <c r="E11" s="145">
        <v>455</v>
      </c>
      <c r="F11" s="154">
        <v>-23.296703296703296</v>
      </c>
      <c r="G11" s="154">
        <v>-23.296703296703296</v>
      </c>
      <c r="H11" s="25"/>
      <c r="I11"/>
    </row>
    <row r="12" spans="1:9">
      <c r="A12" s="158" t="s">
        <v>425</v>
      </c>
      <c r="B12" s="159">
        <v>3072</v>
      </c>
      <c r="C12" s="160">
        <v>2851</v>
      </c>
      <c r="D12" s="160">
        <v>3072</v>
      </c>
      <c r="E12" s="160">
        <v>2851</v>
      </c>
      <c r="F12" s="161">
        <v>7.751666082076464</v>
      </c>
      <c r="G12" s="162">
        <v>7.751666082076464</v>
      </c>
      <c r="H12" s="25"/>
      <c r="I12"/>
    </row>
    <row r="13" spans="1:9">
      <c r="A13" s="25"/>
      <c r="B13" s="61"/>
      <c r="C13" s="61"/>
      <c r="D13" s="61"/>
      <c r="E13" s="61"/>
      <c r="F13" s="25"/>
      <c r="G13" s="25"/>
      <c r="H13" s="58"/>
    </row>
    <row r="14" spans="1:9">
      <c r="A14" s="25"/>
      <c r="B14" s="61"/>
      <c r="C14" s="61"/>
      <c r="D14" s="61"/>
      <c r="E14" s="61"/>
      <c r="F14" s="25"/>
      <c r="G14" s="25"/>
      <c r="H14" s="58"/>
    </row>
    <row r="15" spans="1:9">
      <c r="A15" s="25" t="s">
        <v>620</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P29" sqref="P29"/>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2"/>
    </row>
    <row r="4" spans="2:21">
      <c r="P4" s="25"/>
      <c r="Q4" s="25"/>
      <c r="R4" s="25"/>
      <c r="S4" s="25"/>
      <c r="T4" s="25"/>
      <c r="U4" s="25"/>
    </row>
    <row r="5" spans="2:21" ht="16" thickBot="1">
      <c r="P5" s="25"/>
      <c r="Q5" s="19" t="s">
        <v>426</v>
      </c>
      <c r="R5" s="24">
        <v>2022</v>
      </c>
      <c r="S5" s="24">
        <v>2023</v>
      </c>
      <c r="T5" s="24">
        <v>2024</v>
      </c>
      <c r="U5" s="25"/>
    </row>
    <row r="6" spans="2:21">
      <c r="P6" s="25"/>
      <c r="Q6" s="16" t="s">
        <v>2</v>
      </c>
      <c r="R6" s="25">
        <v>2074</v>
      </c>
      <c r="S6" s="25">
        <v>2356</v>
      </c>
      <c r="T6" s="25">
        <v>2690</v>
      </c>
      <c r="U6" s="25"/>
    </row>
    <row r="7" spans="2:21">
      <c r="P7" s="25"/>
      <c r="Q7" s="16" t="s">
        <v>3</v>
      </c>
      <c r="R7" s="25">
        <v>2592</v>
      </c>
      <c r="S7" s="25">
        <v>2983</v>
      </c>
      <c r="T7" s="25"/>
      <c r="U7" s="25"/>
    </row>
    <row r="8" spans="2:21">
      <c r="P8" s="25"/>
      <c r="Q8" s="16" t="s">
        <v>4</v>
      </c>
      <c r="R8" s="25">
        <v>3443</v>
      </c>
      <c r="S8" s="25">
        <v>3654</v>
      </c>
      <c r="T8" s="25"/>
      <c r="U8" s="25"/>
    </row>
    <row r="9" spans="2:21">
      <c r="P9" s="25"/>
      <c r="Q9" s="16" t="s">
        <v>5</v>
      </c>
      <c r="R9" s="25">
        <v>2954</v>
      </c>
      <c r="S9" s="25">
        <v>3203</v>
      </c>
      <c r="T9" s="25"/>
      <c r="U9" s="25"/>
    </row>
    <row r="10" spans="2:21">
      <c r="P10" s="25"/>
      <c r="Q10" s="16" t="s">
        <v>6</v>
      </c>
      <c r="R10" s="25">
        <v>2983</v>
      </c>
      <c r="S10" s="25">
        <v>3919</v>
      </c>
      <c r="T10" s="25"/>
      <c r="U10" s="25"/>
    </row>
    <row r="11" spans="2:21">
      <c r="P11" s="25"/>
      <c r="Q11" s="16" t="s">
        <v>7</v>
      </c>
      <c r="R11" s="25">
        <v>2605</v>
      </c>
      <c r="S11" s="25">
        <v>4111</v>
      </c>
      <c r="T11" s="25"/>
      <c r="U11" s="25"/>
    </row>
    <row r="12" spans="2:21">
      <c r="P12" s="25"/>
      <c r="Q12" s="16" t="s">
        <v>8</v>
      </c>
      <c r="R12" s="25">
        <v>1533</v>
      </c>
      <c r="S12" s="25">
        <v>2010</v>
      </c>
      <c r="T12" s="25"/>
      <c r="U12" s="25"/>
    </row>
    <row r="13" spans="2:21">
      <c r="P13" s="25"/>
      <c r="Q13" s="16" t="s">
        <v>9</v>
      </c>
      <c r="R13" s="25">
        <v>3065</v>
      </c>
      <c r="S13" s="25">
        <v>4044</v>
      </c>
      <c r="T13" s="25"/>
      <c r="U13" s="25"/>
    </row>
    <row r="14" spans="2:21">
      <c r="P14" s="25"/>
      <c r="Q14" s="16" t="s">
        <v>10</v>
      </c>
      <c r="R14" s="25">
        <v>3276</v>
      </c>
      <c r="S14" s="25">
        <v>4477</v>
      </c>
      <c r="T14" s="25"/>
      <c r="U14" s="25"/>
    </row>
    <row r="15" spans="2:21">
      <c r="P15" s="25"/>
      <c r="Q15" s="16" t="s">
        <v>11</v>
      </c>
      <c r="R15" s="25">
        <v>2572</v>
      </c>
      <c r="S15" s="25">
        <v>4199</v>
      </c>
      <c r="T15" s="25"/>
      <c r="U15" s="25"/>
    </row>
    <row r="16" spans="2:21">
      <c r="P16" s="25"/>
      <c r="Q16" s="16" t="s">
        <v>12</v>
      </c>
      <c r="R16" s="25">
        <v>3367</v>
      </c>
      <c r="S16" s="25">
        <v>3850</v>
      </c>
      <c r="T16" s="25"/>
      <c r="U16" s="25"/>
    </row>
    <row r="17" spans="16:21">
      <c r="P17" s="25"/>
      <c r="Q17" s="26" t="s">
        <v>13</v>
      </c>
      <c r="R17" s="27">
        <v>4052</v>
      </c>
      <c r="S17" s="27">
        <v>4907</v>
      </c>
      <c r="T17" s="27"/>
      <c r="U17" s="25"/>
    </row>
    <row r="18" spans="16:21">
      <c r="P18" s="25"/>
      <c r="Q18" s="38" t="s">
        <v>499</v>
      </c>
      <c r="R18" s="25">
        <f>SUMIF(T6:T17,"&gt;0",R6:R17)</f>
        <v>2074</v>
      </c>
      <c r="S18" s="25">
        <f>SUMIF(T6:T17,"&gt;0",S6:S17)</f>
        <v>2356</v>
      </c>
      <c r="T18" s="61">
        <f>SUM(T6:T17)</f>
        <v>2690</v>
      </c>
      <c r="U18" s="25"/>
    </row>
    <row r="19" spans="16:21">
      <c r="P19" s="25"/>
      <c r="Q19" s="87" t="s">
        <v>498</v>
      </c>
      <c r="R19" s="61">
        <f>SUM(R6:R17)</f>
        <v>34516</v>
      </c>
      <c r="S19" s="61">
        <f>SUM(S6:S17)</f>
        <v>43713</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423</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278</v>
      </c>
      <c r="R35" s="66"/>
      <c r="S35" s="66"/>
      <c r="T35" s="66"/>
      <c r="U35" s="66"/>
      <c r="V35" s="66"/>
      <c r="W35" s="112"/>
    </row>
    <row r="36" spans="17:23">
      <c r="Q36" s="25"/>
      <c r="R36" s="25"/>
      <c r="S36" s="25"/>
      <c r="T36" s="25"/>
      <c r="U36" s="25"/>
      <c r="V36" s="25"/>
      <c r="W36" s="25"/>
    </row>
    <row r="37" spans="17:23">
      <c r="Q37" s="88" t="s">
        <v>600</v>
      </c>
      <c r="R37" s="58">
        <v>-3.4899953466728708</v>
      </c>
      <c r="S37" s="25"/>
      <c r="T37" s="25"/>
      <c r="U37" s="25"/>
      <c r="V37" s="25"/>
      <c r="W37" s="25"/>
    </row>
    <row r="38" spans="17:23">
      <c r="Q38" s="88" t="s">
        <v>615</v>
      </c>
      <c r="R38" s="58">
        <v>-7.8891257995735611</v>
      </c>
      <c r="S38" s="25"/>
      <c r="T38" s="25"/>
      <c r="U38" s="25"/>
      <c r="V38" s="25"/>
      <c r="W38" s="25"/>
    </row>
    <row r="39" spans="17:23">
      <c r="Q39" s="88" t="s">
        <v>633</v>
      </c>
      <c r="R39" s="58">
        <v>-60.334101382488484</v>
      </c>
      <c r="S39" s="25"/>
      <c r="T39" s="25"/>
      <c r="U39" s="25"/>
      <c r="V39" s="25"/>
      <c r="W39" s="25"/>
    </row>
    <row r="40" spans="17:23">
      <c r="Q40" s="88" t="s">
        <v>642</v>
      </c>
      <c r="R40" s="58">
        <v>54.984260230849948</v>
      </c>
      <c r="S40" s="25"/>
      <c r="T40" s="25"/>
      <c r="U40" s="25"/>
      <c r="V40" s="25"/>
      <c r="W40" s="25"/>
    </row>
    <row r="41" spans="17:23">
      <c r="Q41" s="88" t="s">
        <v>647</v>
      </c>
      <c r="R41" s="58">
        <v>6.9942611190817789</v>
      </c>
      <c r="S41" s="25"/>
      <c r="T41" s="25"/>
      <c r="U41" s="25"/>
      <c r="V41" s="25"/>
      <c r="W41" s="25"/>
    </row>
    <row r="42" spans="17:23">
      <c r="Q42" s="88" t="s">
        <v>650</v>
      </c>
      <c r="R42" s="58">
        <v>-17.011787193373689</v>
      </c>
      <c r="S42" s="25"/>
      <c r="T42" s="25"/>
      <c r="U42" s="25"/>
      <c r="V42" s="25"/>
      <c r="W42" s="25"/>
    </row>
    <row r="43" spans="17:23">
      <c r="Q43" s="88" t="s">
        <v>907</v>
      </c>
      <c r="R43" s="58">
        <v>-0.96899224806201545</v>
      </c>
      <c r="S43" s="25"/>
      <c r="T43" s="25"/>
      <c r="U43" s="25"/>
      <c r="V43" s="25"/>
      <c r="W43" s="25"/>
    </row>
    <row r="44" spans="17:23">
      <c r="Q44" s="88" t="s">
        <v>913</v>
      </c>
      <c r="R44" s="58">
        <v>16.495629038388447</v>
      </c>
      <c r="S44" s="25"/>
      <c r="T44" s="25"/>
      <c r="U44" s="25"/>
      <c r="V44" s="25"/>
      <c r="W44" s="25"/>
    </row>
    <row r="45" spans="17:23">
      <c r="Q45" s="88" t="s">
        <v>927</v>
      </c>
      <c r="R45" s="58">
        <v>10.191725529767911</v>
      </c>
      <c r="S45" s="25"/>
      <c r="T45" s="25"/>
      <c r="U45" s="25"/>
      <c r="V45" s="25"/>
      <c r="W45" s="25"/>
    </row>
    <row r="46" spans="17:23">
      <c r="Q46" s="88" t="s">
        <v>937</v>
      </c>
      <c r="R46" s="58">
        <v>7.1220324864639739</v>
      </c>
      <c r="S46" s="25"/>
      <c r="T46" s="25"/>
      <c r="U46" s="25"/>
      <c r="V46" s="25"/>
      <c r="W46" s="25"/>
    </row>
    <row r="47" spans="17:23">
      <c r="Q47" s="88" t="s">
        <v>949</v>
      </c>
      <c r="R47" s="58">
        <v>39.132231404958681</v>
      </c>
      <c r="S47" s="25"/>
      <c r="T47" s="25"/>
      <c r="U47" s="25"/>
      <c r="V47" s="25"/>
      <c r="W47" s="25"/>
    </row>
    <row r="48" spans="17:23">
      <c r="Q48" s="88" t="s">
        <v>963</v>
      </c>
      <c r="R48" s="58">
        <v>45.389307499102976</v>
      </c>
      <c r="S48" s="25"/>
      <c r="T48" s="25"/>
      <c r="U48" s="25"/>
      <c r="V48" s="25"/>
      <c r="W48" s="25"/>
    </row>
    <row r="49" spans="17:23">
      <c r="Q49" s="88" t="s">
        <v>987</v>
      </c>
      <c r="R49" s="58">
        <v>13.596914175506269</v>
      </c>
      <c r="S49" s="25"/>
      <c r="T49" s="25"/>
      <c r="U49" s="25"/>
      <c r="V49" s="25"/>
      <c r="W49" s="25"/>
    </row>
    <row r="50" spans="17:23">
      <c r="Q50" s="88" t="s">
        <v>1003</v>
      </c>
      <c r="R50" s="58">
        <v>15.084876543209877</v>
      </c>
      <c r="S50" s="25"/>
      <c r="T50" s="25"/>
      <c r="U50" s="25"/>
      <c r="V50" s="25"/>
      <c r="W50" s="25"/>
    </row>
    <row r="51" spans="17:23">
      <c r="Q51" s="88" t="s">
        <v>1016</v>
      </c>
      <c r="R51" s="58">
        <v>6.1283764159163523</v>
      </c>
      <c r="S51" s="25"/>
      <c r="T51" s="25"/>
      <c r="U51" s="25"/>
      <c r="V51" s="25"/>
      <c r="W51" s="25"/>
    </row>
    <row r="52" spans="17:23">
      <c r="Q52" s="88" t="s">
        <v>1027</v>
      </c>
      <c r="R52" s="58">
        <v>8.4292484766418418</v>
      </c>
      <c r="S52" s="25"/>
      <c r="T52" s="25"/>
      <c r="U52" s="25"/>
      <c r="V52" s="25"/>
      <c r="W52" s="25"/>
    </row>
    <row r="53" spans="17:23">
      <c r="Q53" s="88" t="s">
        <v>1042</v>
      </c>
      <c r="R53" s="58">
        <v>31.377807576265504</v>
      </c>
      <c r="S53" s="25"/>
      <c r="T53" s="25"/>
      <c r="U53" s="25"/>
      <c r="V53" s="25"/>
      <c r="W53" s="25"/>
    </row>
    <row r="54" spans="17:23">
      <c r="Q54" s="88" t="s">
        <v>1062</v>
      </c>
      <c r="R54" s="58">
        <v>57.811900191938584</v>
      </c>
      <c r="S54" s="25"/>
      <c r="T54" s="25"/>
      <c r="U54" s="25"/>
      <c r="V54" s="25"/>
      <c r="W54" s="25"/>
    </row>
    <row r="55" spans="17:23">
      <c r="Q55" s="88" t="s">
        <v>1068</v>
      </c>
      <c r="R55" s="58">
        <v>31.115459882583167</v>
      </c>
      <c r="S55" s="25"/>
      <c r="T55" s="25"/>
      <c r="U55" s="25"/>
      <c r="V55" s="25"/>
      <c r="W55" s="25"/>
    </row>
    <row r="56" spans="17:23">
      <c r="Q56" s="88" t="s">
        <v>1074</v>
      </c>
      <c r="R56" s="58">
        <v>31.941272430668842</v>
      </c>
      <c r="S56" s="25"/>
      <c r="T56" s="25"/>
      <c r="U56" s="25"/>
      <c r="V56" s="25"/>
      <c r="W56" s="25"/>
    </row>
    <row r="57" spans="17:23">
      <c r="Q57" s="88" t="s">
        <v>1083</v>
      </c>
      <c r="R57" s="58">
        <v>36.660561660561655</v>
      </c>
      <c r="S57" s="25"/>
      <c r="T57" s="25"/>
      <c r="U57" s="25"/>
      <c r="V57" s="25"/>
      <c r="W57" s="25"/>
    </row>
    <row r="58" spans="17:23">
      <c r="Q58" s="88" t="s">
        <v>1102</v>
      </c>
      <c r="R58" s="58">
        <v>63.258164852255049</v>
      </c>
      <c r="S58" s="25"/>
      <c r="T58" s="25"/>
      <c r="U58" s="25"/>
      <c r="V58" s="25"/>
      <c r="W58" s="25"/>
    </row>
    <row r="59" spans="17:23">
      <c r="Q59" s="88" t="s">
        <v>1118</v>
      </c>
      <c r="R59" s="58">
        <v>14.345114345114347</v>
      </c>
      <c r="S59" s="25"/>
      <c r="T59" s="25"/>
      <c r="U59" s="25"/>
      <c r="V59" s="25"/>
      <c r="W59" s="25"/>
    </row>
    <row r="60" spans="17:23">
      <c r="Q60" s="88" t="s">
        <v>1123</v>
      </c>
      <c r="R60" s="58">
        <v>21.100691016781838</v>
      </c>
      <c r="S60" s="25"/>
      <c r="T60" s="25"/>
      <c r="U60" s="25"/>
      <c r="V60" s="25"/>
      <c r="W60" s="25"/>
    </row>
    <row r="61" spans="17:23">
      <c r="Q61" s="88" t="s">
        <v>1135</v>
      </c>
      <c r="R61" s="58">
        <f>((T6-S6)/S6)*100</f>
        <v>14.176570458404075</v>
      </c>
      <c r="S61" s="25"/>
      <c r="T61" s="25"/>
      <c r="U61" s="25"/>
      <c r="V61" s="25"/>
      <c r="W61" s="25"/>
    </row>
    <row r="62" spans="17:23">
      <c r="Q62" s="88"/>
      <c r="R62" s="58"/>
      <c r="S62" s="25"/>
      <c r="T62" s="25"/>
      <c r="U62" s="25"/>
      <c r="V62" s="25"/>
      <c r="W62" s="25"/>
    </row>
    <row r="63" spans="17:23">
      <c r="Q63" s="88"/>
      <c r="R63" s="58"/>
      <c r="S63" s="25"/>
      <c r="T63" s="25"/>
      <c r="U63" s="25"/>
      <c r="V63" s="25"/>
      <c r="W63" s="25"/>
    </row>
    <row r="64" spans="17:23">
      <c r="Q64" s="88"/>
      <c r="R64" s="58"/>
      <c r="S64" s="25"/>
      <c r="T64" s="25"/>
      <c r="U64" s="25"/>
      <c r="V64" s="25"/>
      <c r="W64" s="25"/>
    </row>
    <row r="65" spans="1:23">
      <c r="A65" s="25" t="s">
        <v>620</v>
      </c>
      <c r="Q65" s="88"/>
      <c r="R65" s="58"/>
      <c r="S65" s="25"/>
      <c r="T65" s="25"/>
      <c r="U65" s="25"/>
      <c r="V65" s="25"/>
      <c r="W65" s="25"/>
    </row>
    <row r="66" spans="1:23">
      <c r="Q66" s="88"/>
      <c r="R66" s="58"/>
      <c r="S66" s="25"/>
      <c r="T66" s="25"/>
      <c r="U66" s="25"/>
      <c r="V66" s="25"/>
      <c r="W66" s="25"/>
    </row>
    <row r="67" spans="1:23">
      <c r="Q67" s="88"/>
      <c r="R67" s="58"/>
      <c r="S67" s="25"/>
      <c r="T67" s="25"/>
      <c r="U67" s="25"/>
      <c r="V67" s="25"/>
      <c r="W67" s="25"/>
    </row>
    <row r="68" spans="1:23">
      <c r="Q68" s="88"/>
      <c r="R68" s="58"/>
      <c r="S68" s="25"/>
      <c r="T68" s="25"/>
      <c r="U68" s="25"/>
      <c r="V68" s="25"/>
      <c r="W68" s="25"/>
    </row>
    <row r="69" spans="1:23">
      <c r="Q69" s="88"/>
      <c r="R69" s="58"/>
      <c r="S69" s="25"/>
      <c r="T69" s="25"/>
      <c r="U69" s="25"/>
      <c r="V69" s="25"/>
      <c r="W69" s="25"/>
    </row>
    <row r="70" spans="1:23">
      <c r="Q70" s="88"/>
      <c r="R70" s="58"/>
      <c r="S70" s="25"/>
      <c r="T70" s="25"/>
      <c r="U70" s="25"/>
      <c r="V70" s="25"/>
      <c r="W70" s="25"/>
    </row>
    <row r="71" spans="1:23">
      <c r="Q71" s="88"/>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E40" sqref="E40"/>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1050</v>
      </c>
      <c r="D2" s="56"/>
      <c r="E2" s="56"/>
      <c r="F2" s="56"/>
      <c r="G2" s="56"/>
      <c r="H2" s="56"/>
    </row>
    <row r="4" spans="1:10" ht="15.25" customHeight="1">
      <c r="A4" s="89" t="s">
        <v>428</v>
      </c>
      <c r="B4" s="25"/>
      <c r="C4" s="25"/>
      <c r="D4" s="25"/>
      <c r="E4" s="256" t="s">
        <v>423</v>
      </c>
      <c r="F4" s="256"/>
      <c r="G4" s="256"/>
      <c r="H4" s="256"/>
      <c r="I4" s="256"/>
      <c r="J4" s="25"/>
    </row>
    <row r="5" spans="1:10">
      <c r="A5" s="102"/>
      <c r="B5" s="258" t="s">
        <v>500</v>
      </c>
      <c r="C5" s="259"/>
      <c r="D5" s="258" t="s">
        <v>500</v>
      </c>
      <c r="E5" s="259"/>
      <c r="F5" s="271" t="s">
        <v>501</v>
      </c>
      <c r="G5" s="272"/>
      <c r="H5" s="258" t="s">
        <v>502</v>
      </c>
      <c r="I5" s="259"/>
      <c r="J5" s="25"/>
    </row>
    <row r="6" spans="1:10">
      <c r="A6" s="102" t="s">
        <v>434</v>
      </c>
      <c r="B6" s="116" t="str">
        <f>Innehåll!D79</f>
        <v xml:space="preserve"> 2024-01</v>
      </c>
      <c r="C6" s="116" t="str">
        <f>Innehåll!D80</f>
        <v xml:space="preserve"> 2023-01</v>
      </c>
      <c r="D6" s="116" t="str">
        <f>Innehåll!D81</f>
        <v>YTD  2024</v>
      </c>
      <c r="E6" s="116" t="str">
        <f>Innehåll!D82</f>
        <v>YTD  2023</v>
      </c>
      <c r="F6" s="130" t="str">
        <f>B6</f>
        <v xml:space="preserve"> 2024-01</v>
      </c>
      <c r="G6" s="117" t="str">
        <f>D6</f>
        <v>YTD  2024</v>
      </c>
      <c r="H6" s="116" t="str">
        <f>D6</f>
        <v>YTD  2024</v>
      </c>
      <c r="I6" s="131"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616</v>
      </c>
      <c r="B8" s="25">
        <v>9</v>
      </c>
      <c r="C8" s="25">
        <v>0</v>
      </c>
      <c r="D8" s="25">
        <v>9</v>
      </c>
      <c r="E8" s="25">
        <v>0</v>
      </c>
      <c r="F8" s="25">
        <v>0</v>
      </c>
      <c r="G8" s="25">
        <v>0</v>
      </c>
      <c r="H8" s="25">
        <v>0.3</v>
      </c>
      <c r="I8" s="25">
        <v>0</v>
      </c>
      <c r="J8" s="25"/>
    </row>
    <row r="9" spans="1:10">
      <c r="A9" s="25" t="s">
        <v>245</v>
      </c>
      <c r="B9" s="25">
        <v>2</v>
      </c>
      <c r="C9" s="25">
        <v>3</v>
      </c>
      <c r="D9" s="25">
        <v>2</v>
      </c>
      <c r="E9" s="25">
        <v>3</v>
      </c>
      <c r="F9" s="25">
        <v>-33.299999999999997</v>
      </c>
      <c r="G9" s="25">
        <v>-33.299999999999997</v>
      </c>
      <c r="H9" s="25">
        <v>0.1</v>
      </c>
      <c r="I9" s="25">
        <v>0.1</v>
      </c>
      <c r="J9" s="25"/>
    </row>
    <row r="10" spans="1:10">
      <c r="A10" s="25" t="s">
        <v>246</v>
      </c>
      <c r="B10" s="25">
        <v>53</v>
      </c>
      <c r="C10" s="25">
        <v>68</v>
      </c>
      <c r="D10" s="25">
        <v>53</v>
      </c>
      <c r="E10" s="25">
        <v>68</v>
      </c>
      <c r="F10" s="25">
        <v>-22.1</v>
      </c>
      <c r="G10" s="25">
        <v>-22.1</v>
      </c>
      <c r="H10" s="25">
        <v>2</v>
      </c>
      <c r="I10" s="25">
        <v>2.9</v>
      </c>
      <c r="J10" s="25"/>
    </row>
    <row r="11" spans="1:10">
      <c r="A11" s="25" t="s">
        <v>248</v>
      </c>
      <c r="B11" s="25">
        <v>52</v>
      </c>
      <c r="C11" s="25">
        <v>28</v>
      </c>
      <c r="D11" s="25">
        <v>52</v>
      </c>
      <c r="E11" s="25">
        <v>28</v>
      </c>
      <c r="F11" s="25">
        <v>85.7</v>
      </c>
      <c r="G11" s="25">
        <v>85.7</v>
      </c>
      <c r="H11" s="25">
        <v>1.9</v>
      </c>
      <c r="I11" s="25">
        <v>1.2</v>
      </c>
      <c r="J11" s="25"/>
    </row>
    <row r="12" spans="1:10">
      <c r="A12" s="25" t="s">
        <v>249</v>
      </c>
      <c r="B12" s="25">
        <v>417</v>
      </c>
      <c r="C12" s="25">
        <v>318</v>
      </c>
      <c r="D12" s="25">
        <v>417</v>
      </c>
      <c r="E12" s="25">
        <v>318</v>
      </c>
      <c r="F12" s="25">
        <v>31.1</v>
      </c>
      <c r="G12" s="25">
        <v>31.1</v>
      </c>
      <c r="H12" s="25">
        <v>15.5</v>
      </c>
      <c r="I12" s="25">
        <v>13.5</v>
      </c>
      <c r="J12" s="25"/>
    </row>
    <row r="13" spans="1:10">
      <c r="A13" s="25" t="s">
        <v>341</v>
      </c>
      <c r="B13" s="25">
        <v>91</v>
      </c>
      <c r="C13" s="25">
        <v>57</v>
      </c>
      <c r="D13" s="25">
        <v>91</v>
      </c>
      <c r="E13" s="25">
        <v>57</v>
      </c>
      <c r="F13" s="25">
        <v>59.6</v>
      </c>
      <c r="G13" s="25">
        <v>59.6</v>
      </c>
      <c r="H13" s="25">
        <v>3.4</v>
      </c>
      <c r="I13" s="25">
        <v>2.4</v>
      </c>
      <c r="J13" s="25"/>
    </row>
    <row r="14" spans="1:10">
      <c r="A14" s="25" t="s">
        <v>252</v>
      </c>
      <c r="B14" s="61">
        <v>45</v>
      </c>
      <c r="C14" s="61">
        <v>71</v>
      </c>
      <c r="D14" s="61">
        <v>45</v>
      </c>
      <c r="E14" s="61">
        <v>71</v>
      </c>
      <c r="F14" s="25">
        <v>-36.6</v>
      </c>
      <c r="G14" s="25">
        <v>-36.6</v>
      </c>
      <c r="H14" s="25">
        <v>1.7</v>
      </c>
      <c r="I14" s="25">
        <v>3</v>
      </c>
      <c r="J14" s="25"/>
    </row>
    <row r="15" spans="1:10">
      <c r="A15" s="25" t="s">
        <v>1002</v>
      </c>
      <c r="B15" s="61">
        <v>1</v>
      </c>
      <c r="C15" s="61">
        <v>0</v>
      </c>
      <c r="D15" s="61">
        <v>1</v>
      </c>
      <c r="E15" s="61">
        <v>0</v>
      </c>
      <c r="F15" s="25">
        <v>0</v>
      </c>
      <c r="G15" s="25">
        <v>0</v>
      </c>
      <c r="H15" s="25">
        <v>0</v>
      </c>
      <c r="I15" s="25">
        <v>0</v>
      </c>
      <c r="J15" s="25"/>
    </row>
    <row r="16" spans="1:10">
      <c r="A16" s="25" t="s">
        <v>258</v>
      </c>
      <c r="B16" s="61">
        <v>3</v>
      </c>
      <c r="C16" s="61">
        <v>6</v>
      </c>
      <c r="D16" s="61">
        <v>3</v>
      </c>
      <c r="E16" s="61">
        <v>6</v>
      </c>
      <c r="F16" s="25">
        <v>-50</v>
      </c>
      <c r="G16" s="25">
        <v>-50</v>
      </c>
      <c r="H16" s="25">
        <v>0.1</v>
      </c>
      <c r="I16" s="25">
        <v>0.3</v>
      </c>
      <c r="J16" s="25"/>
    </row>
    <row r="17" spans="1:10">
      <c r="A17" s="25" t="s">
        <v>390</v>
      </c>
      <c r="B17" s="61">
        <v>19</v>
      </c>
      <c r="C17" s="61">
        <v>10</v>
      </c>
      <c r="D17" s="61">
        <v>19</v>
      </c>
      <c r="E17" s="61">
        <v>10</v>
      </c>
      <c r="F17" s="25">
        <v>90</v>
      </c>
      <c r="G17" s="25">
        <v>90</v>
      </c>
      <c r="H17" s="25">
        <v>0.7</v>
      </c>
      <c r="I17" s="25">
        <v>0.4</v>
      </c>
      <c r="J17" s="25"/>
    </row>
    <row r="18" spans="1:10">
      <c r="A18" s="25" t="s">
        <v>357</v>
      </c>
      <c r="B18" s="61">
        <v>214</v>
      </c>
      <c r="C18" s="61">
        <v>232</v>
      </c>
      <c r="D18" s="61">
        <v>214</v>
      </c>
      <c r="E18" s="61">
        <v>232</v>
      </c>
      <c r="F18" s="25">
        <v>-7.8</v>
      </c>
      <c r="G18" s="25">
        <v>-7.8</v>
      </c>
      <c r="H18" s="25">
        <v>8</v>
      </c>
      <c r="I18" s="25">
        <v>9.8000000000000007</v>
      </c>
      <c r="J18" s="25"/>
    </row>
    <row r="19" spans="1:10">
      <c r="A19" s="25" t="s">
        <v>263</v>
      </c>
      <c r="B19" s="61">
        <v>83</v>
      </c>
      <c r="C19" s="61">
        <v>58</v>
      </c>
      <c r="D19" s="61">
        <v>83</v>
      </c>
      <c r="E19" s="61">
        <v>58</v>
      </c>
      <c r="F19" s="25">
        <v>43.1</v>
      </c>
      <c r="G19" s="25">
        <v>43.1</v>
      </c>
      <c r="H19" s="25">
        <v>3.1</v>
      </c>
      <c r="I19" s="25">
        <v>2.5</v>
      </c>
      <c r="J19" s="25"/>
    </row>
    <row r="20" spans="1:10">
      <c r="A20" s="25" t="s">
        <v>264</v>
      </c>
      <c r="B20" s="61">
        <v>48</v>
      </c>
      <c r="C20" s="61">
        <v>30</v>
      </c>
      <c r="D20" s="61">
        <v>48</v>
      </c>
      <c r="E20" s="61">
        <v>30</v>
      </c>
      <c r="F20" s="25">
        <v>60</v>
      </c>
      <c r="G20" s="25">
        <v>60</v>
      </c>
      <c r="H20" s="25">
        <v>1.8</v>
      </c>
      <c r="I20" s="25">
        <v>1.3</v>
      </c>
      <c r="J20" s="25"/>
    </row>
    <row r="21" spans="1:10">
      <c r="A21" s="25" t="s">
        <v>265</v>
      </c>
      <c r="B21" s="61">
        <v>337</v>
      </c>
      <c r="C21" s="61">
        <v>278</v>
      </c>
      <c r="D21" s="61">
        <v>337</v>
      </c>
      <c r="E21" s="61">
        <v>278</v>
      </c>
      <c r="F21" s="25">
        <v>21.2</v>
      </c>
      <c r="G21" s="25">
        <v>21.2</v>
      </c>
      <c r="H21" s="25">
        <v>12.5</v>
      </c>
      <c r="I21" s="25">
        <v>11.8</v>
      </c>
      <c r="J21" s="25"/>
    </row>
    <row r="22" spans="1:10">
      <c r="A22" s="25" t="s">
        <v>1015</v>
      </c>
      <c r="B22" s="61">
        <v>1</v>
      </c>
      <c r="C22" s="61">
        <v>0</v>
      </c>
      <c r="D22" s="61">
        <v>1</v>
      </c>
      <c r="E22" s="61">
        <v>0</v>
      </c>
      <c r="F22" s="25">
        <v>0</v>
      </c>
      <c r="G22" s="25">
        <v>0</v>
      </c>
      <c r="H22" s="25">
        <v>0</v>
      </c>
      <c r="I22" s="25">
        <v>0</v>
      </c>
      <c r="J22" s="25"/>
    </row>
    <row r="23" spans="1:10">
      <c r="A23" s="25" t="s">
        <v>267</v>
      </c>
      <c r="B23" s="61">
        <v>166</v>
      </c>
      <c r="C23" s="61">
        <v>334</v>
      </c>
      <c r="D23" s="61">
        <v>166</v>
      </c>
      <c r="E23" s="61">
        <v>334</v>
      </c>
      <c r="F23" s="25">
        <v>-50.3</v>
      </c>
      <c r="G23" s="25">
        <v>-50.3</v>
      </c>
      <c r="H23" s="25">
        <v>6.2</v>
      </c>
      <c r="I23" s="25">
        <v>14.2</v>
      </c>
      <c r="J23" s="25"/>
    </row>
    <row r="24" spans="1:10">
      <c r="A24" s="25" t="s">
        <v>271</v>
      </c>
      <c r="B24" s="61">
        <v>25</v>
      </c>
      <c r="C24" s="61">
        <v>20</v>
      </c>
      <c r="D24" s="61">
        <v>25</v>
      </c>
      <c r="E24" s="61">
        <v>20</v>
      </c>
      <c r="F24" s="25">
        <v>25</v>
      </c>
      <c r="G24" s="25">
        <v>25</v>
      </c>
      <c r="H24" s="25">
        <v>0.9</v>
      </c>
      <c r="I24" s="25">
        <v>0.8</v>
      </c>
      <c r="J24" s="25"/>
    </row>
    <row r="25" spans="1:10">
      <c r="A25" s="144" t="s">
        <v>273</v>
      </c>
      <c r="B25" s="145">
        <v>223</v>
      </c>
      <c r="C25" s="145">
        <v>164</v>
      </c>
      <c r="D25" s="145">
        <v>223</v>
      </c>
      <c r="E25" s="145">
        <v>164</v>
      </c>
      <c r="F25" s="146">
        <v>36</v>
      </c>
      <c r="G25" s="146">
        <v>36</v>
      </c>
      <c r="H25" s="144">
        <v>8.3000000000000007</v>
      </c>
      <c r="I25" s="144">
        <v>7</v>
      </c>
      <c r="J25" s="25"/>
    </row>
    <row r="26" spans="1:10">
      <c r="A26" s="144" t="s">
        <v>274</v>
      </c>
      <c r="B26" s="145">
        <v>899</v>
      </c>
      <c r="C26" s="145">
        <v>662</v>
      </c>
      <c r="D26" s="145">
        <v>899</v>
      </c>
      <c r="E26" s="145">
        <v>662</v>
      </c>
      <c r="F26" s="144">
        <v>35.799999999999997</v>
      </c>
      <c r="G26" s="144">
        <v>35.799999999999997</v>
      </c>
      <c r="H26" s="144">
        <v>33.4</v>
      </c>
      <c r="I26" s="144">
        <v>28.1</v>
      </c>
      <c r="J26" s="25"/>
    </row>
    <row r="27" spans="1:10">
      <c r="A27" s="144" t="s">
        <v>276</v>
      </c>
      <c r="B27" s="145">
        <v>2</v>
      </c>
      <c r="C27" s="145">
        <v>17</v>
      </c>
      <c r="D27" s="145">
        <v>2</v>
      </c>
      <c r="E27" s="145">
        <v>17</v>
      </c>
      <c r="F27" s="144">
        <v>-88.2</v>
      </c>
      <c r="G27" s="144">
        <v>-88.2</v>
      </c>
      <c r="H27" s="144">
        <v>0.1</v>
      </c>
      <c r="I27" s="144">
        <v>0.7</v>
      </c>
      <c r="J27" s="25"/>
    </row>
    <row r="28" spans="1:10">
      <c r="A28" s="144" t="s">
        <v>425</v>
      </c>
      <c r="B28" s="145">
        <f>SUBTOTAL(109,Table_bdsql12_BDnewRegistrations_getAggMakes[antalPerioden])</f>
        <v>2690</v>
      </c>
      <c r="C28" s="145">
        <f>SUBTOTAL(109,Table_bdsql12_BDnewRegistrations_getAggMakes[antalPeriodenFG])</f>
        <v>2356</v>
      </c>
      <c r="D28" s="145">
        <f>SUBTOTAL(109,Table_bdsql12_BDnewRegistrations_getAggMakes[antalAret])</f>
        <v>2690</v>
      </c>
      <c r="E28" s="145">
        <f>SUBTOTAL(109,Table_bdsql12_BDnewRegistrations_getAggMakes[antalAretFG])</f>
        <v>2356</v>
      </c>
      <c r="F28" s="146">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14.176570458404075</v>
      </c>
      <c r="G28" s="146">
        <f>IF(Table_bdsql12_BDnewRegistrations_getAggMakes[[#Totals],[antalAretFG]] &gt; 0,( Table_bdsql12_BDnewRegistrations_getAggMakes[[#Totals],[antalAret]] - Table_bdsql12_BDnewRegistrations_getAggMakes[[#Totals],[antalAretFG]] ) / Table_bdsql12_BDnewRegistrations_getAggMakes[[#Totals],[antalAretFG]] * 100,0)</f>
        <v>14.176570458404075</v>
      </c>
      <c r="H28" s="148" t="str">
        <f>TEXT(100,"0,0")</f>
        <v>100,0</v>
      </c>
      <c r="I28" s="148" t="str">
        <f>TEXT(100,"0,0")</f>
        <v>100,0</v>
      </c>
      <c r="J28" s="25"/>
    </row>
    <row r="29" spans="1:10">
      <c r="A29" s="144"/>
      <c r="B29" s="145"/>
      <c r="C29" s="145"/>
      <c r="D29" s="145"/>
      <c r="E29" s="145"/>
      <c r="F29" s="146"/>
      <c r="G29" s="146"/>
      <c r="H29" s="148"/>
      <c r="I29" s="148"/>
      <c r="J29" s="25"/>
    </row>
    <row r="30" spans="1:10">
      <c r="A30" s="144"/>
      <c r="B30" s="145"/>
      <c r="C30" s="145"/>
      <c r="D30" s="145"/>
      <c r="E30" s="145"/>
      <c r="F30" s="144"/>
      <c r="G30" s="144"/>
      <c r="H30" s="144"/>
      <c r="I30" s="144"/>
      <c r="J30" s="25"/>
    </row>
    <row r="31" spans="1:10">
      <c r="A31" s="144"/>
      <c r="B31" s="145"/>
      <c r="C31" s="145"/>
      <c r="D31" s="145"/>
      <c r="E31" s="145"/>
      <c r="F31" s="144"/>
      <c r="G31" s="144"/>
      <c r="H31" s="144"/>
      <c r="I31" s="144"/>
      <c r="J31" s="25"/>
    </row>
    <row r="32" spans="1:10">
      <c r="A32" s="144"/>
      <c r="B32" s="145"/>
      <c r="C32" s="145"/>
      <c r="D32" s="145"/>
      <c r="E32" s="145"/>
      <c r="F32" s="144"/>
      <c r="G32" s="144"/>
      <c r="H32" s="144"/>
      <c r="I32" s="144"/>
      <c r="J32" s="25"/>
    </row>
    <row r="33" spans="1:9">
      <c r="A33" s="144"/>
      <c r="B33" s="145"/>
      <c r="C33" s="145"/>
      <c r="D33" s="145"/>
      <c r="E33" s="145"/>
      <c r="F33" s="144"/>
      <c r="G33" s="144"/>
      <c r="H33" s="144"/>
      <c r="I33" s="144"/>
    </row>
    <row r="36" spans="1:9">
      <c r="A36" s="25" t="s">
        <v>620</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9"/>
  <sheetViews>
    <sheetView showZeros="0" workbookViewId="0">
      <selection activeCell="J25" sqref="J2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1051</v>
      </c>
      <c r="D2" s="56"/>
      <c r="E2" s="56"/>
      <c r="F2" s="56"/>
      <c r="G2" s="56"/>
      <c r="H2" s="56"/>
    </row>
    <row r="4" spans="1:13">
      <c r="A4" s="59" t="s">
        <v>422</v>
      </c>
      <c r="B4" s="25"/>
      <c r="C4" s="25"/>
      <c r="D4" s="25"/>
      <c r="E4" s="25"/>
      <c r="F4" s="25"/>
      <c r="G4" s="25"/>
      <c r="H4" s="256" t="s">
        <v>423</v>
      </c>
      <c r="I4" s="256"/>
      <c r="J4" s="256"/>
      <c r="K4" s="256"/>
      <c r="L4" s="256"/>
      <c r="M4" s="25"/>
    </row>
    <row r="5" spans="1:13">
      <c r="A5" s="102"/>
      <c r="B5" s="102"/>
      <c r="C5" s="102" t="s">
        <v>500</v>
      </c>
      <c r="D5" s="102"/>
      <c r="E5" s="102" t="s">
        <v>500</v>
      </c>
      <c r="F5" s="102"/>
      <c r="G5" s="102" t="s">
        <v>501</v>
      </c>
      <c r="H5" s="102"/>
      <c r="I5" s="102" t="s">
        <v>502</v>
      </c>
      <c r="J5" s="102"/>
      <c r="K5" s="102" t="s">
        <v>502</v>
      </c>
      <c r="L5" s="102"/>
      <c r="M5" s="25"/>
    </row>
    <row r="6" spans="1:13">
      <c r="A6" s="102"/>
      <c r="B6" s="102" t="s">
        <v>437</v>
      </c>
      <c r="C6" s="102" t="str">
        <f>Innehåll!D79</f>
        <v xml:space="preserve"> 2024-01</v>
      </c>
      <c r="D6" s="102" t="str">
        <f>Innehåll!D80</f>
        <v xml:space="preserve"> 2023-01</v>
      </c>
      <c r="E6" s="102" t="str">
        <f>Innehåll!D81</f>
        <v>YTD  2024</v>
      </c>
      <c r="F6" s="102" t="str">
        <f>Innehåll!D82</f>
        <v>YTD  2023</v>
      </c>
      <c r="G6" s="102" t="str">
        <f>C6</f>
        <v xml:space="preserve"> 2024-01</v>
      </c>
      <c r="H6" s="102" t="str">
        <f>E6</f>
        <v>YTD  2024</v>
      </c>
      <c r="I6" s="102" t="str">
        <f>C6</f>
        <v xml:space="preserve"> 2024-01</v>
      </c>
      <c r="J6" s="102" t="str">
        <f>E6</f>
        <v>YTD  2024</v>
      </c>
      <c r="K6" s="102" t="str">
        <f>D6</f>
        <v xml:space="preserve"> 2023-01</v>
      </c>
      <c r="L6" s="102" t="str">
        <f>F6</f>
        <v>YTD  2023</v>
      </c>
      <c r="M6" s="25"/>
    </row>
    <row r="7" spans="1:13" ht="15.2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935</v>
      </c>
      <c r="C8" s="61">
        <v>255</v>
      </c>
      <c r="D8" s="61">
        <v>10</v>
      </c>
      <c r="E8" s="61">
        <v>255</v>
      </c>
      <c r="F8" s="61">
        <v>10</v>
      </c>
      <c r="G8" s="25">
        <v>2450</v>
      </c>
      <c r="H8" s="25">
        <v>2450</v>
      </c>
      <c r="I8" s="25">
        <v>35.22</v>
      </c>
      <c r="J8" s="25">
        <v>35.22</v>
      </c>
      <c r="K8" s="25">
        <v>5.71</v>
      </c>
      <c r="L8" s="25">
        <v>5.71</v>
      </c>
      <c r="M8" s="25"/>
    </row>
    <row r="9" spans="1:13">
      <c r="A9" s="25">
        <v>2</v>
      </c>
      <c r="B9" s="25" t="s">
        <v>593</v>
      </c>
      <c r="C9" s="61">
        <v>183</v>
      </c>
      <c r="D9" s="61">
        <v>0</v>
      </c>
      <c r="E9" s="61">
        <v>183</v>
      </c>
      <c r="F9" s="61">
        <v>0</v>
      </c>
      <c r="G9" s="25">
        <v>0</v>
      </c>
      <c r="H9" s="25">
        <v>0</v>
      </c>
      <c r="I9" s="25">
        <v>25.28</v>
      </c>
      <c r="J9" s="25">
        <v>25.28</v>
      </c>
      <c r="K9" s="25">
        <v>0</v>
      </c>
      <c r="L9" s="25">
        <v>0</v>
      </c>
      <c r="M9" s="25"/>
    </row>
    <row r="10" spans="1:13">
      <c r="A10" s="25">
        <v>3</v>
      </c>
      <c r="B10" s="25" t="s">
        <v>934</v>
      </c>
      <c r="C10" s="61">
        <v>88</v>
      </c>
      <c r="D10" s="61">
        <v>43</v>
      </c>
      <c r="E10" s="61">
        <v>88</v>
      </c>
      <c r="F10" s="61">
        <v>43</v>
      </c>
      <c r="G10" s="25">
        <v>104.65</v>
      </c>
      <c r="H10" s="25">
        <v>104.65</v>
      </c>
      <c r="I10" s="25">
        <v>12.15</v>
      </c>
      <c r="J10" s="25">
        <v>12.15</v>
      </c>
      <c r="K10" s="25">
        <v>24.57</v>
      </c>
      <c r="L10" s="25">
        <v>24.57</v>
      </c>
      <c r="M10" s="25"/>
    </row>
    <row r="11" spans="1:13">
      <c r="A11" s="25">
        <v>4</v>
      </c>
      <c r="B11" s="25" t="s">
        <v>570</v>
      </c>
      <c r="C11" s="61">
        <v>36</v>
      </c>
      <c r="D11" s="61">
        <v>43</v>
      </c>
      <c r="E11" s="61">
        <v>36</v>
      </c>
      <c r="F11" s="61">
        <v>43</v>
      </c>
      <c r="G11" s="25">
        <v>-16.28</v>
      </c>
      <c r="H11" s="25">
        <v>-16.28</v>
      </c>
      <c r="I11" s="25">
        <v>4.97</v>
      </c>
      <c r="J11" s="25">
        <v>4.97</v>
      </c>
      <c r="K11" s="25">
        <v>24.57</v>
      </c>
      <c r="L11" s="25">
        <v>24.57</v>
      </c>
      <c r="M11" s="25"/>
    </row>
    <row r="12" spans="1:13">
      <c r="A12" s="25">
        <v>5</v>
      </c>
      <c r="B12" s="25" t="s">
        <v>645</v>
      </c>
      <c r="C12" s="61">
        <v>33</v>
      </c>
      <c r="D12" s="61">
        <v>10</v>
      </c>
      <c r="E12" s="61">
        <v>33</v>
      </c>
      <c r="F12" s="61">
        <v>10</v>
      </c>
      <c r="G12" s="25">
        <v>230</v>
      </c>
      <c r="H12" s="25">
        <v>230</v>
      </c>
      <c r="I12" s="25">
        <v>4.5599999999999996</v>
      </c>
      <c r="J12" s="25">
        <v>4.5599999999999996</v>
      </c>
      <c r="K12" s="25">
        <v>5.71</v>
      </c>
      <c r="L12" s="25">
        <v>5.71</v>
      </c>
      <c r="M12" s="25"/>
    </row>
    <row r="13" spans="1:13">
      <c r="A13" s="25">
        <v>6</v>
      </c>
      <c r="B13" s="25" t="s">
        <v>569</v>
      </c>
      <c r="C13" s="61">
        <v>32</v>
      </c>
      <c r="D13" s="61">
        <v>10</v>
      </c>
      <c r="E13" s="61">
        <v>32</v>
      </c>
      <c r="F13" s="61">
        <v>10</v>
      </c>
      <c r="G13" s="25">
        <v>220</v>
      </c>
      <c r="H13" s="25">
        <v>220</v>
      </c>
      <c r="I13" s="25">
        <v>4.42</v>
      </c>
      <c r="J13" s="25">
        <v>4.42</v>
      </c>
      <c r="K13" s="25">
        <v>5.71</v>
      </c>
      <c r="L13" s="25">
        <v>5.71</v>
      </c>
      <c r="M13" s="25"/>
    </row>
    <row r="14" spans="1:13">
      <c r="A14" s="25">
        <v>7</v>
      </c>
      <c r="B14" s="25" t="s">
        <v>1067</v>
      </c>
      <c r="C14" s="61">
        <v>20</v>
      </c>
      <c r="D14" s="61">
        <v>0</v>
      </c>
      <c r="E14" s="61">
        <v>20</v>
      </c>
      <c r="F14" s="61">
        <v>0</v>
      </c>
      <c r="G14" s="25">
        <v>0</v>
      </c>
      <c r="H14" s="25">
        <v>0</v>
      </c>
      <c r="I14" s="25">
        <v>2.76</v>
      </c>
      <c r="J14" s="25">
        <v>2.76</v>
      </c>
      <c r="K14" s="25">
        <v>0</v>
      </c>
      <c r="L14" s="25">
        <v>0</v>
      </c>
      <c r="M14" s="25"/>
    </row>
    <row r="15" spans="1:13">
      <c r="A15" s="25">
        <v>8</v>
      </c>
      <c r="B15" s="25" t="s">
        <v>592</v>
      </c>
      <c r="C15" s="61">
        <v>13</v>
      </c>
      <c r="D15" s="61">
        <v>2</v>
      </c>
      <c r="E15" s="61">
        <v>13</v>
      </c>
      <c r="F15" s="61">
        <v>2</v>
      </c>
      <c r="G15" s="60">
        <v>550</v>
      </c>
      <c r="H15" s="60">
        <v>550</v>
      </c>
      <c r="I15" s="25">
        <v>1.8</v>
      </c>
      <c r="J15" s="25">
        <v>1.8</v>
      </c>
      <c r="K15" s="25">
        <v>1.1399999999999999</v>
      </c>
      <c r="L15" s="25">
        <v>1.1399999999999999</v>
      </c>
      <c r="M15" s="25"/>
    </row>
    <row r="16" spans="1:13">
      <c r="A16" s="25">
        <v>9</v>
      </c>
      <c r="B16" s="25" t="s">
        <v>598</v>
      </c>
      <c r="C16" s="61">
        <v>11</v>
      </c>
      <c r="D16" s="61">
        <v>1</v>
      </c>
      <c r="E16" s="61">
        <v>11</v>
      </c>
      <c r="F16" s="61">
        <v>1</v>
      </c>
      <c r="G16" s="25">
        <v>1000</v>
      </c>
      <c r="H16" s="25">
        <v>1000</v>
      </c>
      <c r="I16" s="25">
        <v>1.52</v>
      </c>
      <c r="J16" s="25">
        <v>1.52</v>
      </c>
      <c r="K16" s="25">
        <v>0.56999999999999995</v>
      </c>
      <c r="L16" s="25">
        <v>0.56999999999999995</v>
      </c>
      <c r="M16" s="25"/>
    </row>
    <row r="17" spans="1:13">
      <c r="A17" s="25">
        <v>10</v>
      </c>
      <c r="B17" s="25" t="s">
        <v>409</v>
      </c>
      <c r="C17" s="61">
        <v>11</v>
      </c>
      <c r="D17" s="61">
        <v>0</v>
      </c>
      <c r="E17" s="61">
        <v>11</v>
      </c>
      <c r="F17" s="61">
        <v>0</v>
      </c>
      <c r="G17" s="77">
        <v>0</v>
      </c>
      <c r="H17" s="77">
        <v>0</v>
      </c>
      <c r="I17" s="25">
        <v>1.52</v>
      </c>
      <c r="J17" s="25">
        <v>1.52</v>
      </c>
      <c r="K17" s="25">
        <v>0</v>
      </c>
      <c r="L17" s="25">
        <v>0</v>
      </c>
      <c r="M17" s="25"/>
    </row>
    <row r="18" spans="1:13">
      <c r="A18" s="25">
        <v>11</v>
      </c>
      <c r="B18" s="25" t="s">
        <v>599</v>
      </c>
      <c r="C18" s="61">
        <v>9</v>
      </c>
      <c r="D18" s="61">
        <v>0</v>
      </c>
      <c r="E18" s="61">
        <v>9</v>
      </c>
      <c r="F18" s="61">
        <v>0</v>
      </c>
      <c r="G18" s="60">
        <v>0</v>
      </c>
      <c r="H18" s="60">
        <v>0</v>
      </c>
      <c r="I18" s="25">
        <v>1.24</v>
      </c>
      <c r="J18" s="25">
        <v>1.24</v>
      </c>
      <c r="K18" s="25">
        <v>0</v>
      </c>
      <c r="L18" s="25">
        <v>0</v>
      </c>
      <c r="M18" s="25"/>
    </row>
    <row r="19" spans="1:13">
      <c r="A19" s="25">
        <v>12</v>
      </c>
      <c r="B19" s="25" t="s">
        <v>1041</v>
      </c>
      <c r="C19" s="61">
        <v>9</v>
      </c>
      <c r="D19" s="61">
        <v>0</v>
      </c>
      <c r="E19" s="61">
        <v>9</v>
      </c>
      <c r="F19" s="61">
        <v>0</v>
      </c>
      <c r="G19" s="25">
        <v>0</v>
      </c>
      <c r="H19" s="25">
        <v>0</v>
      </c>
      <c r="I19" s="25">
        <v>1.24</v>
      </c>
      <c r="J19" s="25">
        <v>1.24</v>
      </c>
      <c r="K19" s="25">
        <v>0</v>
      </c>
      <c r="L19" s="25">
        <v>0</v>
      </c>
      <c r="M19" s="25"/>
    </row>
    <row r="20" spans="1:13">
      <c r="A20" s="25">
        <v>13</v>
      </c>
      <c r="B20" s="25" t="s">
        <v>906</v>
      </c>
      <c r="C20" s="61">
        <v>7</v>
      </c>
      <c r="D20" s="61">
        <v>7</v>
      </c>
      <c r="E20" s="61">
        <v>7</v>
      </c>
      <c r="F20" s="61">
        <v>7</v>
      </c>
      <c r="G20" s="25">
        <v>0</v>
      </c>
      <c r="H20" s="25">
        <v>0</v>
      </c>
      <c r="I20" s="25">
        <v>0.97</v>
      </c>
      <c r="J20" s="25">
        <v>0.97</v>
      </c>
      <c r="K20" s="25">
        <v>4</v>
      </c>
      <c r="L20" s="25">
        <v>4</v>
      </c>
      <c r="M20" s="25"/>
    </row>
    <row r="21" spans="1:13">
      <c r="A21" s="25">
        <v>14</v>
      </c>
      <c r="B21" s="25" t="s">
        <v>150</v>
      </c>
      <c r="C21" s="61">
        <v>4</v>
      </c>
      <c r="D21" s="61">
        <v>17</v>
      </c>
      <c r="E21" s="61">
        <v>4</v>
      </c>
      <c r="F21" s="61">
        <v>17</v>
      </c>
      <c r="G21" s="25">
        <v>-76.47</v>
      </c>
      <c r="H21" s="25">
        <v>-76.47</v>
      </c>
      <c r="I21" s="25">
        <v>0.55000000000000004</v>
      </c>
      <c r="J21" s="25">
        <v>0.55000000000000004</v>
      </c>
      <c r="K21" s="25">
        <v>9.7100000000000009</v>
      </c>
      <c r="L21" s="25">
        <v>9.7100000000000009</v>
      </c>
      <c r="M21" s="25"/>
    </row>
    <row r="22" spans="1:13">
      <c r="A22" s="25">
        <v>15</v>
      </c>
      <c r="B22" s="25" t="s">
        <v>572</v>
      </c>
      <c r="C22" s="61">
        <v>4</v>
      </c>
      <c r="D22" s="61">
        <v>1</v>
      </c>
      <c r="E22" s="61">
        <v>4</v>
      </c>
      <c r="F22" s="61">
        <v>1</v>
      </c>
      <c r="G22" s="25">
        <v>300</v>
      </c>
      <c r="H22" s="25">
        <v>300</v>
      </c>
      <c r="I22" s="25">
        <v>0.55000000000000004</v>
      </c>
      <c r="J22" s="25">
        <v>0.55000000000000004</v>
      </c>
      <c r="K22" s="25">
        <v>0.56999999999999995</v>
      </c>
      <c r="L22" s="25">
        <v>0.56999999999999995</v>
      </c>
      <c r="M22" s="25"/>
    </row>
    <row r="23" spans="1:13">
      <c r="A23" s="25">
        <v>16</v>
      </c>
      <c r="B23" s="25" t="s">
        <v>912</v>
      </c>
      <c r="C23" s="61">
        <v>3</v>
      </c>
      <c r="D23" s="61">
        <v>3</v>
      </c>
      <c r="E23" s="61">
        <v>3</v>
      </c>
      <c r="F23" s="61">
        <v>3</v>
      </c>
      <c r="G23" s="25">
        <v>0</v>
      </c>
      <c r="H23" s="25">
        <v>0</v>
      </c>
      <c r="I23" s="25">
        <v>0.41</v>
      </c>
      <c r="J23" s="25">
        <v>0.41</v>
      </c>
      <c r="K23" s="25">
        <v>1.71</v>
      </c>
      <c r="L23" s="25">
        <v>1.71</v>
      </c>
      <c r="M23" s="25"/>
    </row>
    <row r="24" spans="1:13">
      <c r="A24" s="25">
        <v>17</v>
      </c>
      <c r="B24" s="25" t="s">
        <v>399</v>
      </c>
      <c r="C24" s="61">
        <v>2</v>
      </c>
      <c r="D24" s="61">
        <v>1</v>
      </c>
      <c r="E24" s="61">
        <v>2</v>
      </c>
      <c r="F24" s="61">
        <v>1</v>
      </c>
      <c r="G24" s="25">
        <v>100</v>
      </c>
      <c r="H24" s="25">
        <v>100</v>
      </c>
      <c r="I24" s="25">
        <v>0.28000000000000003</v>
      </c>
      <c r="J24" s="25">
        <v>0.28000000000000003</v>
      </c>
      <c r="K24" s="25">
        <v>0.56999999999999995</v>
      </c>
      <c r="L24" s="25">
        <v>0.56999999999999995</v>
      </c>
      <c r="M24" s="25"/>
    </row>
    <row r="25" spans="1:13">
      <c r="A25" s="25">
        <v>18</v>
      </c>
      <c r="B25" s="25" t="s">
        <v>984</v>
      </c>
      <c r="C25" s="61">
        <v>1</v>
      </c>
      <c r="D25" s="61">
        <v>2</v>
      </c>
      <c r="E25" s="61">
        <v>1</v>
      </c>
      <c r="F25" s="61">
        <v>2</v>
      </c>
      <c r="G25" s="25">
        <v>-50</v>
      </c>
      <c r="H25" s="25">
        <v>-50</v>
      </c>
      <c r="I25" s="25">
        <v>0.14000000000000001</v>
      </c>
      <c r="J25" s="25">
        <v>0.14000000000000001</v>
      </c>
      <c r="K25" s="25">
        <v>1.1399999999999999</v>
      </c>
      <c r="L25" s="25">
        <v>1.1399999999999999</v>
      </c>
      <c r="M25" s="25"/>
    </row>
    <row r="26" spans="1:13">
      <c r="A26" s="25">
        <v>19</v>
      </c>
      <c r="B26" s="25" t="s">
        <v>573</v>
      </c>
      <c r="C26" s="61">
        <v>1</v>
      </c>
      <c r="D26" s="61">
        <v>0</v>
      </c>
      <c r="E26" s="61">
        <v>1</v>
      </c>
      <c r="F26" s="61">
        <v>0</v>
      </c>
      <c r="G26" s="25">
        <v>0</v>
      </c>
      <c r="H26" s="25">
        <v>0</v>
      </c>
      <c r="I26" s="25">
        <v>0.14000000000000001</v>
      </c>
      <c r="J26" s="25">
        <v>0.14000000000000001</v>
      </c>
      <c r="K26" s="25">
        <v>0</v>
      </c>
      <c r="L26" s="25">
        <v>0</v>
      </c>
      <c r="M26" s="25"/>
    </row>
    <row r="27" spans="1:13">
      <c r="A27" s="25">
        <v>20</v>
      </c>
      <c r="B27" s="25" t="s">
        <v>571</v>
      </c>
      <c r="C27" s="61">
        <v>0</v>
      </c>
      <c r="D27" s="61">
        <v>9</v>
      </c>
      <c r="E27" s="61">
        <v>0</v>
      </c>
      <c r="F27" s="61">
        <v>9</v>
      </c>
      <c r="G27" s="25">
        <v>-100</v>
      </c>
      <c r="H27" s="25">
        <v>-100</v>
      </c>
      <c r="I27" s="25">
        <v>0</v>
      </c>
      <c r="J27" s="25">
        <v>0</v>
      </c>
      <c r="K27" s="25">
        <v>5.14</v>
      </c>
      <c r="L27" s="25">
        <v>5.14</v>
      </c>
      <c r="M27" s="25"/>
    </row>
    <row r="28" spans="1:13">
      <c r="A28" s="144">
        <v>21</v>
      </c>
      <c r="B28" s="144" t="s">
        <v>962</v>
      </c>
      <c r="C28" s="145">
        <v>0</v>
      </c>
      <c r="D28" s="145">
        <v>6</v>
      </c>
      <c r="E28" s="145">
        <v>0</v>
      </c>
      <c r="F28" s="145">
        <v>6</v>
      </c>
      <c r="G28" s="144">
        <v>-100</v>
      </c>
      <c r="H28" s="144">
        <v>-100</v>
      </c>
      <c r="I28" s="144">
        <v>0</v>
      </c>
      <c r="J28" s="144">
        <v>0</v>
      </c>
      <c r="K28" s="144">
        <v>3.43</v>
      </c>
      <c r="L28" s="144">
        <v>3.43</v>
      </c>
      <c r="M28" s="25"/>
    </row>
    <row r="29" spans="1:13">
      <c r="A29" s="144">
        <v>22</v>
      </c>
      <c r="B29" s="144" t="s">
        <v>408</v>
      </c>
      <c r="C29" s="145">
        <v>2</v>
      </c>
      <c r="D29" s="145">
        <v>10</v>
      </c>
      <c r="E29" s="145">
        <v>2</v>
      </c>
      <c r="F29" s="145">
        <v>10</v>
      </c>
      <c r="G29" s="144">
        <v>-80</v>
      </c>
      <c r="H29" s="144">
        <v>-80</v>
      </c>
      <c r="I29" s="144">
        <v>0.28000000000000003</v>
      </c>
      <c r="J29" s="144">
        <v>0.28000000000000003</v>
      </c>
      <c r="K29" s="144">
        <v>5.71</v>
      </c>
      <c r="L29" s="144">
        <v>5.71</v>
      </c>
      <c r="M29" s="25"/>
    </row>
    <row r="30" spans="1:13">
      <c r="A30" s="144"/>
      <c r="B30" s="144" t="s">
        <v>425</v>
      </c>
      <c r="C30" s="145">
        <f>SUBTOTAL(109,Table_bdsql12_BDmodell_getAggModelsFuelTypeLB[antalPerioden])</f>
        <v>724</v>
      </c>
      <c r="D30" s="145">
        <f>SUBTOTAL(109,Table_bdsql12_BDmodell_getAggModelsFuelTypeLB[antalFGPeriod])</f>
        <v>175</v>
      </c>
      <c r="E30" s="145">
        <f>SUBTOTAL(109,Table_bdsql12_BDmodell_getAggModelsFuelTypeLB[antalÅret])</f>
        <v>724</v>
      </c>
      <c r="F30" s="145">
        <f>SUBTOTAL(109,Table_bdsql12_BDmodell_getAggModelsFuelTypeLB[antalFGAr])</f>
        <v>175</v>
      </c>
      <c r="G30" s="149">
        <f>IF(Table_bdsql12_BDmodell_getAggModelsFuelTypeLB[[#Totals],[antalFGPeriod]] &gt; 0,(Table_bdsql12_BDmodell_getAggModelsFuelTypeLB[[#Totals],[antalPerioden]] - Table_bdsql12_BDmodell_getAggModelsFuelTypeLB[[#Totals],[antalFGPeriod]]) / Table_bdsql12_BDmodell_getAggModelsFuelTypeLB[[#Totals],[antalFGPeriod]] *100,0)</f>
        <v>313.71428571428572</v>
      </c>
      <c r="H30" s="149">
        <f>IF(Table_bdsql12_BDmodell_getAggModelsFuelTypeLB[[#Totals],[antalFGAr]] &gt; 0,(Table_bdsql12_BDmodell_getAggModelsFuelTypeLB[[#Totals],[antalÅret]] - Table_bdsql12_BDmodell_getAggModelsFuelTypeLB[[#Totals],[antalFGAr]]) / Table_bdsql12_BDmodell_getAggModelsFuelTypeLB[[#Totals],[antalFGAr]] * 100,0)</f>
        <v>313.71428571428572</v>
      </c>
      <c r="I30" s="148" t="str">
        <f>TEXT(100,"0,0")</f>
        <v>100,0</v>
      </c>
      <c r="J30" s="148" t="str">
        <f>TEXT(100,"0,0")</f>
        <v>100,0</v>
      </c>
      <c r="K30" s="148" t="str">
        <f>TEXT(100,"0,0")</f>
        <v>100,0</v>
      </c>
      <c r="L30" s="148" t="str">
        <f>TEXT(100,"0,0")</f>
        <v>100,0</v>
      </c>
      <c r="M30" s="25"/>
    </row>
    <row r="31" spans="1:13">
      <c r="A31" s="144"/>
      <c r="B31" s="144"/>
      <c r="C31" s="145"/>
      <c r="D31" s="145"/>
      <c r="E31" s="145"/>
      <c r="F31" s="145"/>
      <c r="G31" s="149"/>
      <c r="H31" s="149"/>
      <c r="I31" s="148"/>
      <c r="J31" s="148"/>
      <c r="K31" s="148"/>
      <c r="L31" s="148"/>
      <c r="M31" s="25"/>
    </row>
    <row r="32" spans="1:13">
      <c r="A32" s="144"/>
      <c r="B32" s="144"/>
      <c r="C32" s="145"/>
      <c r="D32" s="145"/>
      <c r="E32" s="145"/>
      <c r="F32" s="145"/>
      <c r="G32" s="144"/>
      <c r="H32" s="144"/>
      <c r="I32" s="144"/>
      <c r="J32" s="144"/>
      <c r="K32" s="144"/>
      <c r="L32" s="144"/>
      <c r="M32" s="25"/>
    </row>
    <row r="33" spans="1:13">
      <c r="A33" s="144"/>
      <c r="B33" s="144"/>
      <c r="C33" s="145"/>
      <c r="D33" s="145"/>
      <c r="E33" s="145"/>
      <c r="F33" s="145"/>
      <c r="G33" s="149"/>
      <c r="H33" s="149"/>
      <c r="I33" s="144"/>
      <c r="J33" s="144"/>
      <c r="K33" s="144"/>
      <c r="L33" s="144"/>
      <c r="M33" s="25"/>
    </row>
    <row r="34" spans="1:13">
      <c r="A34" s="144"/>
      <c r="B34" s="144"/>
      <c r="C34" s="145"/>
      <c r="D34" s="145"/>
      <c r="E34" s="145"/>
      <c r="F34" s="145"/>
      <c r="G34" s="144"/>
      <c r="H34" s="144"/>
      <c r="I34" s="144"/>
      <c r="J34" s="144"/>
      <c r="K34" s="144"/>
      <c r="L34" s="144"/>
    </row>
    <row r="35" spans="1:13">
      <c r="A35" s="144"/>
      <c r="B35" s="144"/>
      <c r="C35" s="145"/>
      <c r="D35" s="145"/>
      <c r="E35" s="145"/>
      <c r="F35" s="145"/>
      <c r="G35" s="144"/>
      <c r="H35" s="144"/>
      <c r="I35" s="144"/>
      <c r="J35" s="144"/>
      <c r="K35" s="144"/>
      <c r="L35" s="144"/>
    </row>
    <row r="36" spans="1:13">
      <c r="A36" s="144"/>
      <c r="B36" s="144"/>
      <c r="C36" s="145"/>
      <c r="D36" s="145"/>
      <c r="E36" s="145"/>
      <c r="F36" s="145"/>
      <c r="G36" s="144"/>
      <c r="H36" s="144"/>
      <c r="I36" s="144"/>
      <c r="J36" s="144"/>
      <c r="K36" s="144"/>
      <c r="L36" s="144"/>
    </row>
    <row r="37" spans="1:13">
      <c r="A37" s="144"/>
      <c r="B37" s="144"/>
      <c r="C37" s="145"/>
      <c r="D37" s="145"/>
      <c r="E37" s="145"/>
      <c r="F37" s="145"/>
      <c r="G37" s="144"/>
      <c r="H37" s="144"/>
      <c r="I37" s="144"/>
      <c r="J37" s="144"/>
      <c r="K37" s="144"/>
      <c r="L37" s="144"/>
    </row>
    <row r="38" spans="1:13">
      <c r="A38" s="144"/>
      <c r="B38" s="144"/>
      <c r="C38" s="145"/>
      <c r="D38" s="145"/>
      <c r="E38" s="145"/>
      <c r="F38" s="145"/>
      <c r="G38" s="144"/>
      <c r="H38" s="144"/>
      <c r="I38" s="144"/>
      <c r="J38" s="144"/>
      <c r="K38" s="144"/>
      <c r="L38" s="144"/>
    </row>
    <row r="39" spans="1:13">
      <c r="A39" s="144"/>
      <c r="B39" s="144"/>
      <c r="C39" s="145"/>
      <c r="D39" s="145"/>
      <c r="E39" s="145"/>
      <c r="F39" s="145"/>
      <c r="G39" s="149"/>
      <c r="H39" s="149"/>
      <c r="I39" s="148"/>
      <c r="J39" s="148"/>
      <c r="K39" s="148"/>
      <c r="L39" s="148"/>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O5" sqref="O5"/>
    </sheetView>
  </sheetViews>
  <sheetFormatPr baseColWidth="10" defaultColWidth="8.83203125" defaultRowHeight="15"/>
  <sheetData>
    <row r="3" spans="16:22" ht="19.25" customHeight="1" thickBot="1">
      <c r="P3" s="25"/>
      <c r="Q3" s="66" t="s">
        <v>1052</v>
      </c>
      <c r="R3" s="66"/>
      <c r="S3" s="66"/>
      <c r="T3" s="66"/>
      <c r="U3" s="66"/>
      <c r="V3" s="112"/>
    </row>
    <row r="4" spans="16:22">
      <c r="P4" s="25"/>
      <c r="Q4" s="25"/>
      <c r="R4" s="25"/>
      <c r="S4" s="25"/>
      <c r="T4" s="25"/>
      <c r="U4" s="25"/>
      <c r="V4" s="25"/>
    </row>
    <row r="5" spans="16:22" ht="16" thickBot="1">
      <c r="P5" s="25"/>
      <c r="Q5" s="19" t="s">
        <v>426</v>
      </c>
      <c r="R5" s="24">
        <v>2022</v>
      </c>
      <c r="S5" s="24">
        <v>2023</v>
      </c>
      <c r="T5" s="24">
        <v>2024</v>
      </c>
      <c r="U5" s="25"/>
      <c r="V5" s="25"/>
    </row>
    <row r="6" spans="16:22">
      <c r="P6" s="25"/>
      <c r="Q6" s="16" t="s">
        <v>2</v>
      </c>
      <c r="R6" s="25">
        <v>289</v>
      </c>
      <c r="S6" s="25">
        <v>455</v>
      </c>
      <c r="T6" s="25">
        <v>349</v>
      </c>
      <c r="V6" s="25"/>
    </row>
    <row r="7" spans="16:22">
      <c r="P7" s="25"/>
      <c r="Q7" s="16" t="s">
        <v>3</v>
      </c>
      <c r="R7" s="25">
        <v>356</v>
      </c>
      <c r="S7" s="25">
        <v>511</v>
      </c>
      <c r="T7" s="25"/>
      <c r="V7" s="25"/>
    </row>
    <row r="8" spans="16:22">
      <c r="P8" s="25"/>
      <c r="Q8" s="16" t="s">
        <v>4</v>
      </c>
      <c r="R8" s="25">
        <v>491</v>
      </c>
      <c r="S8" s="25">
        <v>636</v>
      </c>
      <c r="T8" s="25"/>
      <c r="V8" s="25"/>
    </row>
    <row r="9" spans="16:22">
      <c r="P9" s="25"/>
      <c r="Q9" s="16" t="s">
        <v>5</v>
      </c>
      <c r="R9" s="25">
        <v>478</v>
      </c>
      <c r="S9" s="25">
        <v>514</v>
      </c>
      <c r="T9" s="25"/>
      <c r="V9" s="25"/>
    </row>
    <row r="10" spans="16:22">
      <c r="P10" s="25"/>
      <c r="Q10" s="16" t="s">
        <v>6</v>
      </c>
      <c r="R10" s="25">
        <v>510</v>
      </c>
      <c r="S10" s="25">
        <v>638</v>
      </c>
      <c r="T10" s="25"/>
      <c r="V10" s="25"/>
    </row>
    <row r="11" spans="16:22">
      <c r="P11" s="25"/>
      <c r="Q11" s="16" t="s">
        <v>7</v>
      </c>
      <c r="R11" s="25">
        <v>498</v>
      </c>
      <c r="S11" s="25">
        <v>587</v>
      </c>
      <c r="T11" s="25"/>
      <c r="V11" s="25"/>
    </row>
    <row r="12" spans="16:22">
      <c r="P12" s="25"/>
      <c r="Q12" s="16" t="s">
        <v>8</v>
      </c>
      <c r="R12" s="25">
        <v>227</v>
      </c>
      <c r="S12" s="25">
        <v>266</v>
      </c>
      <c r="T12" s="25"/>
      <c r="U12" s="25"/>
      <c r="V12" s="25"/>
    </row>
    <row r="13" spans="16:22">
      <c r="P13" s="25"/>
      <c r="Q13" s="16" t="s">
        <v>9</v>
      </c>
      <c r="R13" s="25">
        <v>399</v>
      </c>
      <c r="S13" s="25">
        <v>1563</v>
      </c>
      <c r="T13" s="25"/>
      <c r="U13" s="25"/>
      <c r="V13" s="25"/>
    </row>
    <row r="14" spans="16:22">
      <c r="P14" s="25"/>
      <c r="Q14" s="16" t="s">
        <v>10</v>
      </c>
      <c r="R14" s="25">
        <v>543</v>
      </c>
      <c r="S14" s="25">
        <v>215</v>
      </c>
      <c r="T14" s="25"/>
      <c r="U14" s="25"/>
      <c r="V14" s="25"/>
    </row>
    <row r="15" spans="16:22">
      <c r="P15" s="25"/>
      <c r="Q15" s="16" t="s">
        <v>11</v>
      </c>
      <c r="R15" s="25">
        <v>508</v>
      </c>
      <c r="S15" s="25">
        <v>312</v>
      </c>
      <c r="T15" s="25"/>
      <c r="U15" s="25"/>
      <c r="V15" s="25"/>
    </row>
    <row r="16" spans="16:22">
      <c r="P16" s="25"/>
      <c r="Q16" s="16" t="s">
        <v>12</v>
      </c>
      <c r="R16" s="25">
        <v>575</v>
      </c>
      <c r="S16" s="25">
        <v>435</v>
      </c>
      <c r="T16" s="25"/>
      <c r="U16" s="25"/>
      <c r="V16" s="25"/>
    </row>
    <row r="17" spans="16:22">
      <c r="P17" s="25"/>
      <c r="Q17" s="26" t="s">
        <v>13</v>
      </c>
      <c r="R17" s="27">
        <v>618</v>
      </c>
      <c r="S17" s="27">
        <v>490</v>
      </c>
      <c r="T17" s="27"/>
      <c r="U17" s="25"/>
      <c r="V17" s="25"/>
    </row>
    <row r="18" spans="16:22">
      <c r="P18" s="25"/>
      <c r="Q18" s="20" t="s">
        <v>499</v>
      </c>
      <c r="R18" s="61">
        <f>SUMIF(T6:T17,"&gt;0",R6:R17)</f>
        <v>289</v>
      </c>
      <c r="S18" s="61">
        <f>SUMIF(T6:T17,"&gt;0",S6:S17)</f>
        <v>455</v>
      </c>
      <c r="T18" s="61">
        <f>SUM(T6:T17)</f>
        <v>349</v>
      </c>
      <c r="U18" s="61"/>
      <c r="V18" s="25"/>
    </row>
    <row r="19" spans="16:22">
      <c r="P19" s="25"/>
      <c r="Q19" s="21" t="s">
        <v>498</v>
      </c>
      <c r="R19" s="61">
        <f>SUM(R6:R17)</f>
        <v>5492</v>
      </c>
      <c r="S19" s="61">
        <f>SUM(S6:S17)</f>
        <v>6622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423</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1053</v>
      </c>
      <c r="R35" s="66"/>
      <c r="S35" s="66"/>
      <c r="T35" s="66"/>
      <c r="U35" s="66"/>
      <c r="V35" s="66"/>
      <c r="W35" s="66"/>
      <c r="X35" s="112"/>
    </row>
    <row r="36" spans="16:24">
      <c r="P36" s="25"/>
      <c r="Q36" s="25"/>
      <c r="R36" s="25"/>
      <c r="S36" s="25"/>
      <c r="T36" s="25"/>
      <c r="U36" s="25"/>
      <c r="V36" s="25"/>
      <c r="W36" s="25"/>
      <c r="X36" s="25"/>
    </row>
    <row r="37" spans="16:24">
      <c r="P37" s="25"/>
      <c r="Q37" s="88" t="s">
        <v>600</v>
      </c>
      <c r="R37" s="58">
        <v>-25.129533678756477</v>
      </c>
      <c r="S37" s="25"/>
      <c r="T37" s="25"/>
      <c r="U37" s="25"/>
      <c r="V37" s="25"/>
      <c r="W37" s="25"/>
      <c r="X37" s="25"/>
    </row>
    <row r="38" spans="16:24">
      <c r="P38" s="25"/>
      <c r="Q38" s="88" t="s">
        <v>615</v>
      </c>
      <c r="R38" s="58">
        <v>-23.440860215053764</v>
      </c>
      <c r="S38" s="25"/>
      <c r="T38" s="25"/>
      <c r="U38" s="25"/>
      <c r="V38" s="25"/>
      <c r="W38" s="25"/>
      <c r="X38" s="25"/>
    </row>
    <row r="39" spans="16:24">
      <c r="P39" s="25"/>
      <c r="Q39" s="88" t="s">
        <v>633</v>
      </c>
      <c r="R39" s="58">
        <v>-5.7581573896353166</v>
      </c>
      <c r="S39" s="25"/>
      <c r="T39" s="25"/>
      <c r="U39" s="25"/>
      <c r="V39" s="25"/>
      <c r="W39" s="25"/>
      <c r="X39" s="25"/>
    </row>
    <row r="40" spans="16:24">
      <c r="P40" s="25"/>
      <c r="Q40" s="88" t="s">
        <v>642</v>
      </c>
      <c r="R40" s="58">
        <v>-9.1254752851711025</v>
      </c>
      <c r="S40" s="25"/>
      <c r="T40" s="25"/>
      <c r="U40" s="25"/>
      <c r="V40" s="25"/>
      <c r="W40" s="25"/>
      <c r="X40" s="25"/>
    </row>
    <row r="41" spans="16:24">
      <c r="P41" s="25"/>
      <c r="Q41" s="88" t="s">
        <v>647</v>
      </c>
      <c r="R41" s="58">
        <v>3.8696537678207736</v>
      </c>
      <c r="S41" s="25"/>
      <c r="T41" s="25"/>
      <c r="U41" s="25"/>
      <c r="V41" s="25"/>
      <c r="W41" s="25"/>
      <c r="X41" s="25"/>
    </row>
    <row r="42" spans="16:24">
      <c r="P42" s="25"/>
      <c r="Q42" s="88" t="s">
        <v>650</v>
      </c>
      <c r="R42" s="58">
        <v>-1.1904761904761905</v>
      </c>
      <c r="S42" s="25"/>
      <c r="T42" s="25"/>
      <c r="U42" s="25"/>
      <c r="V42" s="25"/>
      <c r="W42" s="25"/>
      <c r="X42" s="25"/>
    </row>
    <row r="43" spans="16:24">
      <c r="P43" s="25"/>
      <c r="Q43" s="88" t="s">
        <v>907</v>
      </c>
      <c r="R43" s="58">
        <v>-22.260273972602739</v>
      </c>
      <c r="S43" s="25"/>
      <c r="T43" s="25"/>
      <c r="U43" s="25"/>
      <c r="V43" s="25"/>
      <c r="W43" s="25"/>
      <c r="X43" s="25"/>
    </row>
    <row r="44" spans="16:24">
      <c r="P44" s="25"/>
      <c r="Q44" s="88" t="s">
        <v>913</v>
      </c>
      <c r="R44" s="58">
        <v>7.8378378378378386</v>
      </c>
      <c r="S44" s="25"/>
      <c r="T44" s="25"/>
      <c r="U44" s="25"/>
      <c r="V44" s="25"/>
      <c r="W44" s="25"/>
      <c r="X44" s="25"/>
    </row>
    <row r="45" spans="16:24">
      <c r="P45" s="25"/>
      <c r="Q45" s="88" t="s">
        <v>927</v>
      </c>
      <c r="R45" s="58">
        <v>33.088235294117645</v>
      </c>
      <c r="S45" s="25"/>
      <c r="T45" s="25"/>
      <c r="U45" s="25"/>
      <c r="V45" s="25"/>
      <c r="W45" s="25"/>
      <c r="X45" s="25"/>
    </row>
    <row r="46" spans="16:24">
      <c r="P46" s="25"/>
      <c r="Q46" s="88" t="s">
        <v>937</v>
      </c>
      <c r="R46" s="58">
        <v>24.205378973105134</v>
      </c>
      <c r="S46" s="25"/>
      <c r="T46" s="25"/>
      <c r="U46" s="25"/>
      <c r="V46" s="25"/>
      <c r="W46" s="25"/>
      <c r="X46" s="25"/>
    </row>
    <row r="47" spans="16:24">
      <c r="P47" s="25"/>
      <c r="Q47" s="88" t="s">
        <v>949</v>
      </c>
      <c r="R47" s="58">
        <v>47.435897435897431</v>
      </c>
      <c r="S47" s="25"/>
      <c r="T47" s="25"/>
      <c r="U47" s="25"/>
      <c r="V47" s="25"/>
      <c r="W47" s="25"/>
      <c r="X47" s="25"/>
    </row>
    <row r="48" spans="16:24">
      <c r="P48" s="25"/>
      <c r="Q48" s="88" t="s">
        <v>963</v>
      </c>
      <c r="R48" s="58">
        <v>14.232902033271719</v>
      </c>
      <c r="S48" s="25"/>
      <c r="T48" s="25"/>
      <c r="U48" s="25"/>
      <c r="V48" s="25"/>
      <c r="W48" s="25"/>
      <c r="X48" s="25"/>
    </row>
    <row r="49" spans="16:24">
      <c r="P49" s="25"/>
      <c r="Q49" s="88" t="s">
        <v>987</v>
      </c>
      <c r="R49" s="58">
        <v>57.439446366782008</v>
      </c>
      <c r="S49" s="25"/>
      <c r="T49" s="25"/>
      <c r="U49" s="25"/>
      <c r="V49" s="25"/>
      <c r="W49" s="25"/>
      <c r="X49" s="25"/>
    </row>
    <row r="50" spans="16:24">
      <c r="P50" s="25"/>
      <c r="Q50" s="88" t="s">
        <v>1003</v>
      </c>
      <c r="R50" s="58">
        <v>43.539325842696627</v>
      </c>
      <c r="S50" s="25"/>
      <c r="T50" s="25"/>
      <c r="U50" s="25"/>
      <c r="V50" s="25"/>
      <c r="W50" s="25"/>
      <c r="X50" s="25"/>
    </row>
    <row r="51" spans="16:24">
      <c r="P51" s="25"/>
      <c r="Q51" s="88" t="s">
        <v>1016</v>
      </c>
      <c r="R51" s="58">
        <v>29.531568228105908</v>
      </c>
      <c r="S51" s="25"/>
      <c r="T51" s="25"/>
      <c r="U51" s="25"/>
      <c r="V51" s="25"/>
      <c r="W51" s="25"/>
      <c r="X51" s="25"/>
    </row>
    <row r="52" spans="16:24">
      <c r="P52" s="25"/>
      <c r="Q52" s="88" t="s">
        <v>1027</v>
      </c>
      <c r="R52" s="58">
        <v>7.5313807531380759</v>
      </c>
      <c r="S52" s="25"/>
      <c r="T52" s="25"/>
      <c r="U52" s="25"/>
      <c r="V52" s="25"/>
      <c r="W52" s="25"/>
      <c r="X52" s="25"/>
    </row>
    <row r="53" spans="16:24">
      <c r="P53" s="25"/>
      <c r="Q53" s="88" t="s">
        <v>1042</v>
      </c>
      <c r="R53" s="58">
        <v>25.098039215686274</v>
      </c>
      <c r="S53" s="25"/>
      <c r="T53" s="25"/>
      <c r="U53" s="25"/>
      <c r="V53" s="25"/>
      <c r="W53" s="25"/>
      <c r="X53" s="25"/>
    </row>
    <row r="54" spans="16:24">
      <c r="P54" s="25"/>
      <c r="Q54" s="88" t="s">
        <v>1062</v>
      </c>
      <c r="R54" s="58">
        <v>17.871485943775099</v>
      </c>
      <c r="S54" s="25"/>
      <c r="T54" s="25"/>
      <c r="U54" s="25"/>
      <c r="V54" s="25"/>
      <c r="W54" s="25"/>
      <c r="X54" s="25"/>
    </row>
    <row r="55" spans="16:24">
      <c r="P55" s="25"/>
      <c r="Q55" s="88" t="s">
        <v>1068</v>
      </c>
      <c r="R55" s="58">
        <v>17.180616740088105</v>
      </c>
      <c r="S55" s="25"/>
      <c r="T55" s="25"/>
      <c r="U55" s="25"/>
      <c r="V55" s="25"/>
      <c r="W55" s="25"/>
      <c r="X55" s="25"/>
    </row>
    <row r="56" spans="16:24">
      <c r="P56" s="25"/>
      <c r="Q56" s="88" t="s">
        <v>1074</v>
      </c>
      <c r="R56" s="58">
        <v>291.72932330827069</v>
      </c>
      <c r="S56" s="25"/>
      <c r="T56" s="25"/>
      <c r="U56" s="25"/>
      <c r="V56" s="25"/>
      <c r="W56" s="25"/>
      <c r="X56" s="25"/>
    </row>
    <row r="57" spans="16:24">
      <c r="P57" s="25"/>
      <c r="Q57" s="88" t="s">
        <v>1083</v>
      </c>
      <c r="R57" s="58">
        <v>-60.405156537753221</v>
      </c>
      <c r="S57" s="25"/>
      <c r="T57" s="25"/>
      <c r="U57" s="25"/>
      <c r="V57" s="25"/>
      <c r="W57" s="25"/>
      <c r="X57" s="25"/>
    </row>
    <row r="58" spans="16:24">
      <c r="P58" s="25"/>
      <c r="Q58" s="15" t="s">
        <v>1102</v>
      </c>
      <c r="R58" s="58">
        <v>-38.582677165354326</v>
      </c>
      <c r="S58" s="25"/>
      <c r="T58" s="25"/>
      <c r="U58" s="25"/>
      <c r="V58" s="25"/>
      <c r="W58" s="25"/>
      <c r="X58" s="25"/>
    </row>
    <row r="59" spans="16:24">
      <c r="P59" s="25"/>
      <c r="Q59" s="15" t="s">
        <v>1118</v>
      </c>
      <c r="R59" s="58">
        <v>-24.347826086956523</v>
      </c>
      <c r="S59" s="25"/>
      <c r="T59" s="25"/>
      <c r="U59" s="25"/>
      <c r="V59" s="25"/>
      <c r="W59" s="25"/>
      <c r="X59" s="25"/>
    </row>
    <row r="60" spans="16:24">
      <c r="P60" s="25"/>
      <c r="Q60" s="15" t="s">
        <v>1123</v>
      </c>
      <c r="R60" s="58">
        <v>-20.711974110032365</v>
      </c>
      <c r="S60" s="25"/>
      <c r="T60" s="25"/>
      <c r="U60" s="25"/>
      <c r="V60" s="25"/>
      <c r="W60" s="25"/>
      <c r="X60" s="25"/>
    </row>
    <row r="61" spans="16:24">
      <c r="P61" s="25"/>
      <c r="Q61" s="88" t="s">
        <v>1135</v>
      </c>
      <c r="R61" s="58">
        <f>((T6-S6)/S6)*100</f>
        <v>-23.296703296703296</v>
      </c>
      <c r="S61" s="25"/>
      <c r="T61" s="25"/>
      <c r="U61" s="25"/>
      <c r="V61" s="25"/>
      <c r="W61" s="25"/>
      <c r="X61" s="25"/>
    </row>
    <row r="62" spans="16:24">
      <c r="P62" s="25"/>
      <c r="Q62" s="88"/>
      <c r="R62" s="58"/>
      <c r="S62" s="25"/>
      <c r="T62" s="25"/>
      <c r="U62" s="25"/>
      <c r="V62" s="25"/>
      <c r="W62" s="25"/>
      <c r="X62" s="25"/>
    </row>
    <row r="63" spans="16:24">
      <c r="P63" s="25"/>
      <c r="Q63" s="88"/>
      <c r="R63" s="58"/>
      <c r="S63" s="25"/>
      <c r="T63" s="25"/>
      <c r="U63" s="25"/>
      <c r="V63" s="25"/>
      <c r="W63" s="25"/>
      <c r="X63" s="25"/>
    </row>
    <row r="64" spans="16:24">
      <c r="P64" s="25"/>
      <c r="Q64" s="88"/>
      <c r="R64" s="58"/>
      <c r="S64" s="25"/>
      <c r="T64" s="25"/>
      <c r="U64" s="25"/>
      <c r="V64" s="25"/>
      <c r="W64" s="25"/>
      <c r="X64" s="25"/>
    </row>
    <row r="65" spans="1:24">
      <c r="P65" s="25"/>
      <c r="Q65" s="88"/>
      <c r="R65" s="58"/>
      <c r="S65" s="25"/>
      <c r="T65" s="25"/>
      <c r="U65" s="25"/>
      <c r="V65" s="25"/>
      <c r="W65" s="25"/>
      <c r="X65" s="25"/>
    </row>
    <row r="66" spans="1:24">
      <c r="P66" s="25"/>
      <c r="Q66" s="88"/>
      <c r="R66" s="58"/>
      <c r="S66" s="25"/>
      <c r="T66" s="25"/>
      <c r="U66" s="25"/>
      <c r="V66" s="25"/>
      <c r="W66" s="25"/>
      <c r="X66" s="25"/>
    </row>
    <row r="67" spans="1:24">
      <c r="P67" s="25"/>
      <c r="Q67" s="88"/>
      <c r="R67" s="58"/>
      <c r="S67" s="25"/>
      <c r="T67" s="25"/>
      <c r="U67" s="25"/>
      <c r="V67" s="25"/>
      <c r="W67" s="25"/>
      <c r="X67" s="25"/>
    </row>
    <row r="68" spans="1:24">
      <c r="A68" s="25" t="s">
        <v>620</v>
      </c>
      <c r="P68" s="25"/>
      <c r="Q68" s="88"/>
      <c r="R68" s="58"/>
      <c r="S68" s="25"/>
      <c r="T68" s="25"/>
      <c r="U68" s="25"/>
      <c r="V68" s="25"/>
      <c r="W68" s="25"/>
      <c r="X68" s="25"/>
    </row>
    <row r="69" spans="1:24">
      <c r="P69" s="25"/>
      <c r="Q69" s="88"/>
      <c r="R69" s="58"/>
      <c r="S69" s="25"/>
      <c r="T69" s="25"/>
      <c r="U69" s="25"/>
      <c r="V69" s="25"/>
      <c r="W69" s="25"/>
      <c r="X69" s="25"/>
    </row>
    <row r="70" spans="1:24">
      <c r="P70" s="25"/>
      <c r="Q70" s="15"/>
      <c r="R70" s="58"/>
      <c r="S70" s="25"/>
      <c r="T70" s="25"/>
      <c r="U70" s="25"/>
      <c r="V70" s="25"/>
      <c r="W70" s="25"/>
      <c r="X70" s="25"/>
    </row>
    <row r="71" spans="1:24">
      <c r="P71" s="25"/>
      <c r="Q71" s="15"/>
      <c r="R71" s="58"/>
      <c r="S71" s="25"/>
      <c r="T71" s="25"/>
      <c r="U71" s="25"/>
      <c r="V71" s="25"/>
      <c r="W71" s="25"/>
      <c r="X71" s="25"/>
    </row>
    <row r="72" spans="1:24">
      <c r="P72" s="25"/>
      <c r="Q72" s="1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E10" sqref="E10"/>
    </sheetView>
  </sheetViews>
  <sheetFormatPr baseColWidth="10" defaultColWidth="8.83203125" defaultRowHeight="15"/>
  <cols>
    <col min="1" max="1" width="21.33203125" customWidth="1"/>
    <col min="2" max="9" width="10.33203125" customWidth="1"/>
  </cols>
  <sheetData>
    <row r="2" spans="1:10" ht="19.25" customHeight="1" thickBot="1">
      <c r="B2" s="56" t="s">
        <v>1054</v>
      </c>
      <c r="C2" s="56"/>
      <c r="D2" s="56"/>
      <c r="E2" s="56"/>
      <c r="F2" s="56"/>
      <c r="G2" s="56"/>
    </row>
    <row r="4" spans="1:10">
      <c r="A4" s="7" t="s">
        <v>522</v>
      </c>
      <c r="B4" s="25"/>
      <c r="C4" s="25"/>
      <c r="D4" s="25"/>
      <c r="E4" s="257" t="s">
        <v>423</v>
      </c>
      <c r="F4" s="257"/>
      <c r="G4" s="257"/>
      <c r="H4" s="257"/>
      <c r="I4" s="257"/>
      <c r="J4" s="25"/>
    </row>
    <row r="5" spans="1:10">
      <c r="A5" s="102"/>
      <c r="B5" s="102" t="s">
        <v>500</v>
      </c>
      <c r="C5" s="102"/>
      <c r="D5" s="102" t="s">
        <v>500</v>
      </c>
      <c r="E5" s="102"/>
      <c r="F5" s="102" t="s">
        <v>501</v>
      </c>
      <c r="G5" s="102"/>
      <c r="H5" s="102" t="s">
        <v>502</v>
      </c>
      <c r="I5" s="102"/>
      <c r="J5" s="25"/>
    </row>
    <row r="6" spans="1:10">
      <c r="A6" s="102" t="s">
        <v>434</v>
      </c>
      <c r="B6" s="102" t="str">
        <f>Innehåll!D79</f>
        <v xml:space="preserve"> 2024-01</v>
      </c>
      <c r="C6" s="102" t="str">
        <f>Innehåll!D80</f>
        <v xml:space="preserve"> 2023-01</v>
      </c>
      <c r="D6" s="102" t="str">
        <f>Innehåll!D81</f>
        <v>YTD  2024</v>
      </c>
      <c r="E6" s="102" t="str">
        <f>Innehåll!D82</f>
        <v>YTD  2023</v>
      </c>
      <c r="F6" s="102" t="str">
        <f>B6</f>
        <v xml:space="preserve"> 2024-01</v>
      </c>
      <c r="G6" s="102" t="str">
        <f>D6</f>
        <v>YTD  2024</v>
      </c>
      <c r="H6" s="102" t="str">
        <f>D6</f>
        <v>YTD  2024</v>
      </c>
      <c r="I6" s="102"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285</v>
      </c>
      <c r="B8" s="61">
        <v>2</v>
      </c>
      <c r="C8" s="61">
        <v>11</v>
      </c>
      <c r="D8" s="61">
        <v>2</v>
      </c>
      <c r="E8" s="61">
        <v>11</v>
      </c>
      <c r="F8" s="25">
        <v>-81.8</v>
      </c>
      <c r="G8" s="25">
        <v>-81.8</v>
      </c>
      <c r="H8" s="25">
        <v>0.6</v>
      </c>
      <c r="I8" s="25">
        <v>2.4</v>
      </c>
      <c r="J8" s="25"/>
    </row>
    <row r="9" spans="1:10">
      <c r="A9" s="25" t="s">
        <v>258</v>
      </c>
      <c r="B9" s="61">
        <v>8</v>
      </c>
      <c r="C9" s="61">
        <v>10</v>
      </c>
      <c r="D9" s="61">
        <v>8</v>
      </c>
      <c r="E9" s="61">
        <v>10</v>
      </c>
      <c r="F9" s="25">
        <v>-20</v>
      </c>
      <c r="G9" s="25">
        <v>-20</v>
      </c>
      <c r="H9" s="25">
        <v>2.2999999999999998</v>
      </c>
      <c r="I9" s="25">
        <v>2.2000000000000002</v>
      </c>
      <c r="J9" s="25"/>
    </row>
    <row r="10" spans="1:10">
      <c r="A10" s="25" t="s">
        <v>438</v>
      </c>
      <c r="B10" s="61">
        <v>38</v>
      </c>
      <c r="C10" s="61">
        <v>39</v>
      </c>
      <c r="D10" s="61">
        <v>38</v>
      </c>
      <c r="E10" s="61">
        <v>39</v>
      </c>
      <c r="F10" s="25">
        <v>-2.6</v>
      </c>
      <c r="G10" s="25">
        <v>-2.6</v>
      </c>
      <c r="H10" s="25">
        <v>10.9</v>
      </c>
      <c r="I10" s="25">
        <v>8.6</v>
      </c>
      <c r="J10" s="25"/>
    </row>
    <row r="11" spans="1:10">
      <c r="A11" s="25" t="s">
        <v>439</v>
      </c>
      <c r="B11" s="61">
        <v>141</v>
      </c>
      <c r="C11" s="61">
        <v>188</v>
      </c>
      <c r="D11" s="61">
        <v>141</v>
      </c>
      <c r="E11" s="61">
        <v>188</v>
      </c>
      <c r="F11" s="25">
        <v>-25</v>
      </c>
      <c r="G11" s="25">
        <v>-25</v>
      </c>
      <c r="H11" s="25">
        <v>40.4</v>
      </c>
      <c r="I11" s="25">
        <v>41.3</v>
      </c>
      <c r="J11" s="25"/>
    </row>
    <row r="12" spans="1:10">
      <c r="A12" s="25" t="s">
        <v>275</v>
      </c>
      <c r="B12" s="61">
        <v>158</v>
      </c>
      <c r="C12" s="61">
        <v>207</v>
      </c>
      <c r="D12" s="61">
        <v>158</v>
      </c>
      <c r="E12" s="61">
        <v>207</v>
      </c>
      <c r="F12" s="25">
        <v>-23.7</v>
      </c>
      <c r="G12" s="25">
        <v>-23.7</v>
      </c>
      <c r="H12" s="25">
        <v>45.3</v>
      </c>
      <c r="I12" s="25">
        <v>45.5</v>
      </c>
      <c r="J12" s="25"/>
    </row>
    <row r="13" spans="1:10">
      <c r="A13" s="25" t="s">
        <v>276</v>
      </c>
      <c r="B13" s="61">
        <v>2</v>
      </c>
      <c r="C13" s="61">
        <v>0</v>
      </c>
      <c r="D13" s="61">
        <v>2</v>
      </c>
      <c r="E13" s="61">
        <v>0</v>
      </c>
      <c r="F13" s="25">
        <v>0</v>
      </c>
      <c r="G13" s="25">
        <v>0</v>
      </c>
      <c r="H13" s="25">
        <v>0.6</v>
      </c>
      <c r="I13" s="25">
        <v>0</v>
      </c>
      <c r="J13" s="25"/>
    </row>
    <row r="14" spans="1:10">
      <c r="A14" s="144" t="s">
        <v>425</v>
      </c>
      <c r="B14" s="145">
        <f>SUBTOTAL(109,Table_ExternalData_1[antalPerioden])</f>
        <v>349</v>
      </c>
      <c r="C14" s="145">
        <f>SUBTOTAL(109,Table_ExternalData_1[antalPeriodenFG])</f>
        <v>455</v>
      </c>
      <c r="D14" s="145">
        <f>SUBTOTAL(109,Table_ExternalData_1[antalAret])</f>
        <v>349</v>
      </c>
      <c r="E14" s="145">
        <f>SUBTOTAL(109,Table_ExternalData_1[antalAretFG])</f>
        <v>455</v>
      </c>
      <c r="F14" s="146">
        <f>IF(Table_ExternalData_1[[#Totals],[antalPeriodenFG]] &gt; 0,( Table_ExternalData_1[[#Totals],[antalPerioden]] - Table_ExternalData_1[[#Totals],[antalPeriodenFG]] ) / Table_ExternalData_1[[#Totals],[antalPeriodenFG]] * 100,0)</f>
        <v>-23.296703296703296</v>
      </c>
      <c r="G14" s="146">
        <f>IF(Table_ExternalData_1[[#Totals],[antalAretFG]] &gt; 0,( Table_ExternalData_1[[#Totals],[antalAret]] - Table_ExternalData_1[[#Totals],[antalAretFG]] ) / Table_ExternalData_1[[#Totals],[antalAretFG]] * 100,0)</f>
        <v>-23.296703296703296</v>
      </c>
      <c r="H14" s="148" t="str">
        <f>TEXT(100,"0,0")</f>
        <v>100,0</v>
      </c>
      <c r="I14" s="148" t="str">
        <f>TEXT(100,"0,0")</f>
        <v>100,0</v>
      </c>
      <c r="J14" s="25"/>
    </row>
    <row r="15" spans="1:10" s="5" customFormat="1">
      <c r="A15" s="144"/>
      <c r="B15" s="145"/>
      <c r="C15" s="145"/>
      <c r="D15" s="145"/>
      <c r="E15" s="145"/>
      <c r="F15" s="146"/>
      <c r="G15" s="146"/>
      <c r="H15" s="148"/>
      <c r="I15" s="148"/>
      <c r="J15" s="38"/>
    </row>
    <row r="16" spans="1:10">
      <c r="A16" s="144"/>
      <c r="B16" s="145"/>
      <c r="C16" s="145"/>
      <c r="D16" s="145"/>
      <c r="E16" s="145"/>
      <c r="F16" s="146"/>
      <c r="G16" s="146"/>
      <c r="H16" s="144"/>
      <c r="I16" s="144"/>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620</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pageSetUpPr fitToPage="1"/>
  </sheetPr>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523</v>
      </c>
      <c r="D2" s="56"/>
      <c r="E2" s="56"/>
      <c r="F2" s="56"/>
    </row>
    <row r="4" spans="1:9">
      <c r="A4" s="7" t="s">
        <v>422</v>
      </c>
      <c r="B4" s="25"/>
      <c r="C4" s="25"/>
      <c r="D4" s="25"/>
      <c r="E4" s="257" t="s">
        <v>423</v>
      </c>
      <c r="F4" s="257"/>
      <c r="G4" s="257"/>
      <c r="H4" s="257"/>
      <c r="I4" s="257"/>
    </row>
    <row r="5" spans="1:9">
      <c r="A5" s="102"/>
      <c r="B5" s="260" t="s">
        <v>500</v>
      </c>
      <c r="C5" s="261"/>
      <c r="D5" s="260" t="s">
        <v>500</v>
      </c>
      <c r="E5" s="261"/>
      <c r="F5" s="271" t="s">
        <v>501</v>
      </c>
      <c r="G5" s="272"/>
      <c r="H5" s="258" t="s">
        <v>502</v>
      </c>
      <c r="I5" s="259"/>
    </row>
    <row r="6" spans="1:9">
      <c r="A6" s="102" t="s">
        <v>434</v>
      </c>
      <c r="B6" s="116" t="str">
        <f>Innehåll!D79</f>
        <v xml:space="preserve"> 2024-01</v>
      </c>
      <c r="C6" s="116" t="str">
        <f>Innehåll!D80</f>
        <v xml:space="preserve"> 2023-01</v>
      </c>
      <c r="D6" s="116" t="str">
        <f>Innehåll!D81</f>
        <v>YTD  2024</v>
      </c>
      <c r="E6" s="116" t="str">
        <f>Innehåll!D82</f>
        <v>YTD  2023</v>
      </c>
      <c r="F6" s="130" t="str">
        <f>B6</f>
        <v xml:space="preserve"> 2024-01</v>
      </c>
      <c r="G6" s="117" t="str">
        <f>D6</f>
        <v>YTD  2024</v>
      </c>
      <c r="H6" s="116" t="str">
        <f>D6</f>
        <v>YTD  2024</v>
      </c>
      <c r="I6" s="131" t="str">
        <f>E6</f>
        <v>YTD  2023</v>
      </c>
    </row>
    <row r="7" spans="1:9" ht="15.25" hidden="1" customHeight="1">
      <c r="A7" s="25"/>
      <c r="B7" s="25"/>
      <c r="C7" s="25"/>
      <c r="D7" s="25"/>
      <c r="E7" s="25"/>
      <c r="F7" s="25"/>
      <c r="G7" s="25"/>
      <c r="H7" s="25"/>
      <c r="I7" s="25"/>
    </row>
    <row r="8" spans="1:9" ht="15.25" hidden="1" customHeight="1">
      <c r="A8" s="25" t="s">
        <v>224</v>
      </c>
      <c r="B8" s="25" t="s">
        <v>26</v>
      </c>
      <c r="C8" s="25" t="s">
        <v>279</v>
      </c>
      <c r="D8" s="25" t="s">
        <v>280</v>
      </c>
      <c r="E8" s="25" t="s">
        <v>281</v>
      </c>
      <c r="F8" s="25" t="s">
        <v>282</v>
      </c>
      <c r="G8" s="25" t="s">
        <v>31</v>
      </c>
      <c r="H8" s="25" t="s">
        <v>283</v>
      </c>
      <c r="I8" s="25" t="s">
        <v>284</v>
      </c>
    </row>
    <row r="9" spans="1:9">
      <c r="A9" s="25" t="s">
        <v>438</v>
      </c>
      <c r="B9" s="61">
        <v>24</v>
      </c>
      <c r="C9" s="61">
        <v>22</v>
      </c>
      <c r="D9" s="61">
        <v>24</v>
      </c>
      <c r="E9" s="61">
        <v>22</v>
      </c>
      <c r="F9" s="58">
        <v>9.1</v>
      </c>
      <c r="G9" s="58">
        <v>9.1</v>
      </c>
      <c r="H9" s="58">
        <v>41.4</v>
      </c>
      <c r="I9" s="58">
        <v>45.8</v>
      </c>
    </row>
    <row r="10" spans="1:9">
      <c r="A10" s="25" t="s">
        <v>439</v>
      </c>
      <c r="B10" s="61">
        <v>14</v>
      </c>
      <c r="C10" s="61">
        <v>0</v>
      </c>
      <c r="D10" s="61">
        <v>14</v>
      </c>
      <c r="E10" s="61">
        <v>0</v>
      </c>
      <c r="F10" s="58">
        <v>0</v>
      </c>
      <c r="G10" s="58">
        <v>0</v>
      </c>
      <c r="H10" s="58">
        <v>24.1</v>
      </c>
      <c r="I10" s="58">
        <v>0</v>
      </c>
    </row>
    <row r="11" spans="1:9">
      <c r="A11" s="25" t="s">
        <v>442</v>
      </c>
      <c r="B11" s="61">
        <v>12</v>
      </c>
      <c r="C11" s="61">
        <v>9</v>
      </c>
      <c r="D11" s="61">
        <v>12</v>
      </c>
      <c r="E11" s="61">
        <v>9</v>
      </c>
      <c r="F11" s="58">
        <v>33.299999999999997</v>
      </c>
      <c r="G11" s="58">
        <v>33.299999999999997</v>
      </c>
      <c r="H11" s="58">
        <v>20.7</v>
      </c>
      <c r="I11" s="58">
        <v>18.8</v>
      </c>
    </row>
    <row r="12" spans="1:9">
      <c r="A12" s="25" t="s">
        <v>252</v>
      </c>
      <c r="B12" s="61">
        <v>3</v>
      </c>
      <c r="C12" s="61">
        <v>2</v>
      </c>
      <c r="D12" s="61">
        <v>3</v>
      </c>
      <c r="E12" s="61">
        <v>2</v>
      </c>
      <c r="F12" s="58">
        <v>50</v>
      </c>
      <c r="G12" s="58">
        <v>50</v>
      </c>
      <c r="H12" s="58">
        <v>5.2</v>
      </c>
      <c r="I12" s="58">
        <v>4.2</v>
      </c>
    </row>
    <row r="13" spans="1:9">
      <c r="A13" s="25" t="s">
        <v>258</v>
      </c>
      <c r="B13" s="61">
        <v>2</v>
      </c>
      <c r="C13" s="61">
        <v>5</v>
      </c>
      <c r="D13" s="61">
        <v>2</v>
      </c>
      <c r="E13" s="61">
        <v>5</v>
      </c>
      <c r="F13" s="58">
        <v>-60</v>
      </c>
      <c r="G13" s="58">
        <v>-60</v>
      </c>
      <c r="H13" s="58">
        <v>3.4</v>
      </c>
      <c r="I13" s="58">
        <v>10.4</v>
      </c>
    </row>
    <row r="14" spans="1:9">
      <c r="A14" s="25" t="s">
        <v>249</v>
      </c>
      <c r="B14" s="61">
        <v>0</v>
      </c>
      <c r="C14" s="61">
        <v>4</v>
      </c>
      <c r="D14" s="61">
        <v>0</v>
      </c>
      <c r="E14" s="61">
        <v>4</v>
      </c>
      <c r="F14" s="58">
        <v>-100</v>
      </c>
      <c r="G14" s="58">
        <v>-100</v>
      </c>
      <c r="H14" s="58">
        <v>0</v>
      </c>
      <c r="I14" s="58">
        <v>8.3000000000000007</v>
      </c>
    </row>
    <row r="15" spans="1:9">
      <c r="A15" s="25" t="s">
        <v>275</v>
      </c>
      <c r="B15" s="61">
        <v>0</v>
      </c>
      <c r="C15" s="61">
        <v>4</v>
      </c>
      <c r="D15" s="61">
        <v>0</v>
      </c>
      <c r="E15" s="61">
        <v>4</v>
      </c>
      <c r="F15" s="58">
        <v>-100</v>
      </c>
      <c r="G15" s="58">
        <v>-100</v>
      </c>
      <c r="H15" s="58">
        <v>0</v>
      </c>
      <c r="I15" s="58">
        <v>8.3000000000000007</v>
      </c>
    </row>
    <row r="16" spans="1:9">
      <c r="A16" s="25" t="s">
        <v>649</v>
      </c>
      <c r="B16" s="61">
        <v>0</v>
      </c>
      <c r="C16" s="61">
        <v>1</v>
      </c>
      <c r="D16" s="61">
        <v>0</v>
      </c>
      <c r="E16" s="61">
        <v>1</v>
      </c>
      <c r="F16" s="58">
        <v>-100</v>
      </c>
      <c r="G16" s="58">
        <v>-100</v>
      </c>
      <c r="H16" s="58">
        <v>0</v>
      </c>
      <c r="I16" s="58">
        <v>2.1</v>
      </c>
    </row>
    <row r="17" spans="1:9">
      <c r="A17" s="25" t="s">
        <v>276</v>
      </c>
      <c r="B17" s="61">
        <v>3</v>
      </c>
      <c r="C17" s="61">
        <v>1</v>
      </c>
      <c r="D17" s="61">
        <v>3</v>
      </c>
      <c r="E17" s="61">
        <v>1</v>
      </c>
      <c r="F17" s="58">
        <v>200</v>
      </c>
      <c r="G17" s="58">
        <v>200</v>
      </c>
      <c r="H17" s="58">
        <v>5.2</v>
      </c>
      <c r="I17" s="58">
        <v>2.1</v>
      </c>
    </row>
    <row r="18" spans="1:9">
      <c r="A18" s="144" t="s">
        <v>335</v>
      </c>
      <c r="B18" s="145">
        <f>SUBTOTAL(109,getAggBussAll[antalPerioden])</f>
        <v>58</v>
      </c>
      <c r="C18" s="145">
        <f>SUBTOTAL(109,getAggBussAll[antalPeriodenFG])</f>
        <v>48</v>
      </c>
      <c r="D18" s="145">
        <f>SUBTOTAL(109,getAggBussAll[antalAret])</f>
        <v>58</v>
      </c>
      <c r="E18" s="145">
        <f>SUBTOTAL(109,getAggBussAll[antalAretFG])</f>
        <v>48</v>
      </c>
      <c r="F18" s="146">
        <f>IF(getAggBussAll[[#Totals],[antalPeriodenFG]] &gt; 0,( getAggBussAll[[#Totals],[antalPerioden]] - getAggBussAll[[#Totals],[antalPeriodenFG]] ) / getAggBussAll[[#Totals],[antalPeriodenFG]] * 100,0)</f>
        <v>20.833333333333336</v>
      </c>
      <c r="G18" s="146">
        <f>IF(getAggBussAll[[#Totals],[antalAretFG]] &gt; 0,( getAggBussAll[[#Totals],[antalAret]] - getAggBussAll[[#Totals],[antalAretFG]] ) / getAggBussAll[[#Totals],[antalAretFG]] * 100,0)</f>
        <v>20.833333333333336</v>
      </c>
      <c r="H18" s="150" t="str">
        <f>TEXT(100,"0,0")</f>
        <v>100,0</v>
      </c>
      <c r="I18" s="150" t="str">
        <f>TEXT(100,"0,0")</f>
        <v>100,0</v>
      </c>
    </row>
    <row r="19" spans="1:9">
      <c r="A19" s="144"/>
      <c r="B19" s="145"/>
      <c r="C19" s="145"/>
      <c r="D19" s="145"/>
      <c r="E19" s="145"/>
      <c r="F19" s="146"/>
      <c r="G19" s="146"/>
      <c r="H19" s="150"/>
      <c r="I19" s="150"/>
    </row>
    <row r="20" spans="1:9">
      <c r="A20" s="144"/>
      <c r="B20" s="145"/>
      <c r="C20" s="145"/>
      <c r="D20" s="145"/>
      <c r="E20" s="145"/>
      <c r="F20" s="146"/>
      <c r="G20" s="146"/>
      <c r="H20" s="146"/>
      <c r="I20" s="146"/>
    </row>
    <row r="21" spans="1:9">
      <c r="A21" s="144"/>
      <c r="B21" s="145"/>
      <c r="C21" s="145"/>
      <c r="D21" s="145"/>
      <c r="E21" s="145"/>
      <c r="F21" s="146"/>
      <c r="G21" s="146"/>
      <c r="H21" s="146"/>
      <c r="I21" s="146"/>
    </row>
    <row r="22" spans="1:9">
      <c r="A22" s="144"/>
      <c r="B22" s="145"/>
      <c r="C22" s="145"/>
      <c r="D22" s="145"/>
      <c r="E22" s="145"/>
      <c r="F22" s="146"/>
      <c r="G22" s="146"/>
      <c r="H22" s="146"/>
      <c r="I22" s="146"/>
    </row>
    <row r="23" spans="1:9">
      <c r="A23" s="144"/>
      <c r="B23" s="145"/>
      <c r="C23" s="145"/>
      <c r="D23" s="145"/>
      <c r="E23" s="145"/>
      <c r="F23" s="146"/>
      <c r="G23" s="146"/>
      <c r="H23" s="146"/>
      <c r="I23" s="146"/>
    </row>
    <row r="24" spans="1:9">
      <c r="A24" s="25"/>
      <c r="B24" s="61"/>
      <c r="C24" s="61"/>
      <c r="D24" s="61"/>
      <c r="E24" s="61"/>
      <c r="F24" s="58"/>
      <c r="G24" s="58"/>
      <c r="H24" s="90"/>
      <c r="I24" s="90"/>
    </row>
    <row r="25" spans="1:9">
      <c r="A25" s="25"/>
      <c r="B25" s="61"/>
      <c r="C25" s="61"/>
      <c r="D25" s="61"/>
      <c r="E25" s="61"/>
      <c r="F25" s="58"/>
      <c r="G25" s="58"/>
      <c r="H25" s="90"/>
      <c r="I25" s="90"/>
    </row>
    <row r="26" spans="1:9" ht="19.25" customHeight="1" thickBot="1">
      <c r="A26" s="25"/>
      <c r="B26" s="25"/>
      <c r="C26" s="56" t="s">
        <v>524</v>
      </c>
      <c r="D26" s="56"/>
      <c r="E26" s="56"/>
      <c r="F26" s="56"/>
      <c r="G26" s="25"/>
      <c r="H26" s="25"/>
      <c r="I26" s="25"/>
    </row>
    <row r="27" spans="1:9">
      <c r="A27" s="25"/>
      <c r="B27" s="25"/>
      <c r="C27" s="25"/>
      <c r="D27" s="25"/>
      <c r="E27" s="25"/>
      <c r="F27" s="25"/>
      <c r="G27" s="25"/>
      <c r="H27" s="25"/>
      <c r="I27" s="25"/>
    </row>
    <row r="28" spans="1:9" s="5" customFormat="1">
      <c r="A28" s="7" t="s">
        <v>422</v>
      </c>
      <c r="B28" s="25"/>
      <c r="C28" s="25"/>
      <c r="D28" s="25"/>
      <c r="E28" s="257" t="s">
        <v>423</v>
      </c>
      <c r="F28" s="257"/>
      <c r="G28" s="257"/>
      <c r="H28" s="257"/>
      <c r="I28" s="257"/>
    </row>
    <row r="29" spans="1:9">
      <c r="A29" s="102"/>
      <c r="B29" s="102" t="s">
        <v>500</v>
      </c>
      <c r="C29" s="102"/>
      <c r="D29" s="102" t="s">
        <v>500</v>
      </c>
      <c r="E29" s="102"/>
      <c r="F29" s="102" t="s">
        <v>501</v>
      </c>
      <c r="G29" s="102"/>
      <c r="H29" s="102" t="s">
        <v>502</v>
      </c>
      <c r="I29" s="102"/>
    </row>
    <row r="30" spans="1:9">
      <c r="A30" s="102" t="s">
        <v>434</v>
      </c>
      <c r="B30" s="102" t="str">
        <f>Innehåll!D79</f>
        <v xml:space="preserve"> 2024-01</v>
      </c>
      <c r="C30" s="102" t="str">
        <f>Innehåll!D80</f>
        <v xml:space="preserve"> 2023-01</v>
      </c>
      <c r="D30" s="102" t="str">
        <f>Innehåll!D81</f>
        <v>YTD  2024</v>
      </c>
      <c r="E30" s="102" t="str">
        <f>Innehåll!D82</f>
        <v>YTD  2023</v>
      </c>
      <c r="F30" s="102" t="str">
        <f>B30</f>
        <v xml:space="preserve"> 2024-01</v>
      </c>
      <c r="G30" s="102" t="str">
        <f>D30</f>
        <v>YTD  2024</v>
      </c>
      <c r="H30" s="102" t="str">
        <f>D30</f>
        <v>YTD  2024</v>
      </c>
      <c r="I30" s="102" t="str">
        <f>E30</f>
        <v>YTD  2023</v>
      </c>
    </row>
    <row r="31" spans="1:9" ht="15.25" hidden="1" customHeight="1">
      <c r="A31" s="25" t="s">
        <v>224</v>
      </c>
      <c r="B31" s="25" t="s">
        <v>26</v>
      </c>
      <c r="C31" s="25" t="s">
        <v>279</v>
      </c>
      <c r="D31" s="25" t="s">
        <v>280</v>
      </c>
      <c r="E31" s="25" t="s">
        <v>281</v>
      </c>
      <c r="F31" s="25" t="s">
        <v>282</v>
      </c>
      <c r="G31" s="25" t="s">
        <v>31</v>
      </c>
      <c r="H31" s="25" t="s">
        <v>283</v>
      </c>
      <c r="I31" s="25" t="s">
        <v>284</v>
      </c>
    </row>
    <row r="32" spans="1:9">
      <c r="A32" s="25" t="s">
        <v>439</v>
      </c>
      <c r="B32" s="61">
        <v>14</v>
      </c>
      <c r="C32" s="61">
        <v>0</v>
      </c>
      <c r="D32" s="61">
        <v>14</v>
      </c>
      <c r="E32" s="61">
        <v>0</v>
      </c>
      <c r="F32" s="58">
        <v>0</v>
      </c>
      <c r="G32" s="58">
        <v>0</v>
      </c>
      <c r="H32" s="58">
        <v>38.9</v>
      </c>
      <c r="I32" s="58">
        <v>0</v>
      </c>
    </row>
    <row r="33" spans="1:9">
      <c r="A33" s="25" t="s">
        <v>442</v>
      </c>
      <c r="B33" s="61">
        <v>12</v>
      </c>
      <c r="C33" s="61">
        <v>9</v>
      </c>
      <c r="D33" s="61">
        <v>12</v>
      </c>
      <c r="E33" s="61">
        <v>9</v>
      </c>
      <c r="F33" s="58">
        <v>33.299999999999997</v>
      </c>
      <c r="G33" s="58">
        <v>33.299999999999997</v>
      </c>
      <c r="H33" s="58">
        <v>33.299999999999997</v>
      </c>
      <c r="I33" s="58">
        <v>26.5</v>
      </c>
    </row>
    <row r="34" spans="1:9">
      <c r="A34" s="25" t="s">
        <v>438</v>
      </c>
      <c r="B34" s="61">
        <v>7</v>
      </c>
      <c r="C34" s="61">
        <v>13</v>
      </c>
      <c r="D34" s="61">
        <v>7</v>
      </c>
      <c r="E34" s="61">
        <v>13</v>
      </c>
      <c r="F34" s="58">
        <v>-46.2</v>
      </c>
      <c r="G34" s="58">
        <v>-46.2</v>
      </c>
      <c r="H34" s="58">
        <v>19.399999999999999</v>
      </c>
      <c r="I34" s="58">
        <v>38.200000000000003</v>
      </c>
    </row>
    <row r="35" spans="1:9">
      <c r="A35" s="25" t="s">
        <v>258</v>
      </c>
      <c r="B35" s="61">
        <v>2</v>
      </c>
      <c r="C35" s="61">
        <v>5</v>
      </c>
      <c r="D35" s="61">
        <v>2</v>
      </c>
      <c r="E35" s="61">
        <v>5</v>
      </c>
      <c r="F35" s="58">
        <v>-60</v>
      </c>
      <c r="G35" s="58">
        <v>-60</v>
      </c>
      <c r="H35" s="58">
        <v>5.6</v>
      </c>
      <c r="I35" s="58">
        <v>14.7</v>
      </c>
    </row>
    <row r="36" spans="1:9" ht="15.25" customHeight="1">
      <c r="A36" s="25" t="s">
        <v>649</v>
      </c>
      <c r="B36" s="61">
        <v>0</v>
      </c>
      <c r="C36" s="61">
        <v>1</v>
      </c>
      <c r="D36" s="61">
        <v>0</v>
      </c>
      <c r="E36" s="61">
        <v>1</v>
      </c>
      <c r="F36" s="58">
        <v>-100</v>
      </c>
      <c r="G36" s="58">
        <v>-100</v>
      </c>
      <c r="H36" s="58">
        <v>0</v>
      </c>
      <c r="I36" s="58">
        <v>2.9</v>
      </c>
    </row>
    <row r="37" spans="1:9">
      <c r="A37" s="25" t="s">
        <v>275</v>
      </c>
      <c r="B37" s="61">
        <v>0</v>
      </c>
      <c r="C37" s="61">
        <v>4</v>
      </c>
      <c r="D37" s="61">
        <v>0</v>
      </c>
      <c r="E37" s="61">
        <v>4</v>
      </c>
      <c r="F37" s="58">
        <v>-100</v>
      </c>
      <c r="G37" s="58">
        <v>-100</v>
      </c>
      <c r="H37" s="58">
        <v>0</v>
      </c>
      <c r="I37" s="58">
        <v>11.8</v>
      </c>
    </row>
    <row r="38" spans="1:9">
      <c r="A38" s="25" t="s">
        <v>252</v>
      </c>
      <c r="B38" s="61">
        <v>0</v>
      </c>
      <c r="C38" s="61">
        <v>1</v>
      </c>
      <c r="D38" s="61">
        <v>0</v>
      </c>
      <c r="E38" s="61">
        <v>1</v>
      </c>
      <c r="F38" s="58">
        <v>-100</v>
      </c>
      <c r="G38" s="58">
        <v>-100</v>
      </c>
      <c r="H38" s="58">
        <v>0</v>
      </c>
      <c r="I38" s="58">
        <v>2.9</v>
      </c>
    </row>
    <row r="39" spans="1:9">
      <c r="A39" s="144" t="s">
        <v>276</v>
      </c>
      <c r="B39" s="145">
        <v>1</v>
      </c>
      <c r="C39" s="145">
        <v>1</v>
      </c>
      <c r="D39" s="145">
        <v>1</v>
      </c>
      <c r="E39" s="145">
        <v>1</v>
      </c>
      <c r="F39" s="146">
        <v>0</v>
      </c>
      <c r="G39" s="146">
        <v>0</v>
      </c>
      <c r="H39" s="146">
        <v>2.8</v>
      </c>
      <c r="I39" s="146">
        <v>2.9</v>
      </c>
    </row>
    <row r="40" spans="1:9">
      <c r="A40" s="144" t="s">
        <v>335</v>
      </c>
      <c r="B40" s="145">
        <f>SUBTOTAL(109,getAggBuss[antalPerioden])</f>
        <v>36</v>
      </c>
      <c r="C40" s="145">
        <f>SUBTOTAL(109,getAggBuss[antalPeriodenFG])</f>
        <v>34</v>
      </c>
      <c r="D40" s="145">
        <f>SUBTOTAL(109,getAggBuss[antalAret])</f>
        <v>36</v>
      </c>
      <c r="E40" s="145">
        <f>SUBTOTAL(109,getAggBuss[antalAretFG])</f>
        <v>34</v>
      </c>
      <c r="F40" s="146">
        <f>IF(getAggBuss[[#Totals],[antalPeriodenFG]] &gt; 0,( getAggBuss[[#Totals],[antalPerioden]] - getAggBuss[[#Totals],[antalPeriodenFG]] ) / getAggBuss[[#Totals],[antalPeriodenFG]] * 100,0)</f>
        <v>5.8823529411764701</v>
      </c>
      <c r="G40" s="146">
        <f>IF(getAggBuss[[#Totals],[antalAretFG]] &gt; 0,( getAggBuss[[#Totals],[antalAret]] - getAggBuss[[#Totals],[antalAretFG]] ) / getAggBuss[[#Totals],[antalAretFG]] * 100,0)</f>
        <v>5.8823529411764701</v>
      </c>
      <c r="H40" s="150" t="str">
        <f>TEXT(100,"0,0")</f>
        <v>100,0</v>
      </c>
      <c r="I40" s="150" t="str">
        <f>TEXT(100,"0,0")</f>
        <v>100,0</v>
      </c>
    </row>
    <row r="41" spans="1:9">
      <c r="A41" s="144"/>
      <c r="B41" s="145"/>
      <c r="C41" s="145"/>
      <c r="D41" s="145"/>
      <c r="E41" s="145"/>
      <c r="F41" s="146"/>
      <c r="G41" s="146"/>
      <c r="H41" s="150"/>
      <c r="I41" s="150"/>
    </row>
    <row r="42" spans="1:9">
      <c r="A42" s="144"/>
      <c r="B42" s="145"/>
      <c r="C42" s="145"/>
      <c r="D42" s="145"/>
      <c r="E42" s="145"/>
      <c r="F42" s="146"/>
      <c r="G42" s="146"/>
      <c r="H42" s="146"/>
      <c r="I42" s="146"/>
    </row>
    <row r="43" spans="1:9">
      <c r="A43" s="25"/>
      <c r="B43" s="25"/>
      <c r="C43" s="25"/>
      <c r="D43" s="25"/>
      <c r="E43" s="25"/>
      <c r="F43" s="25"/>
      <c r="G43" s="25"/>
      <c r="H43" s="25"/>
      <c r="I43" s="25"/>
    </row>
    <row r="44" spans="1:9">
      <c r="A44" s="25" t="s">
        <v>620</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scale="83"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H19" sqref="H19"/>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525</v>
      </c>
      <c r="D2" s="56"/>
      <c r="E2" s="56"/>
      <c r="F2" s="56"/>
      <c r="G2" s="56"/>
      <c r="H2" s="25"/>
      <c r="I2" s="25"/>
      <c r="J2" s="25"/>
    </row>
    <row r="3" spans="1:10">
      <c r="A3" s="25"/>
      <c r="B3" s="25"/>
      <c r="C3" s="25"/>
      <c r="D3" s="25"/>
      <c r="E3" s="25"/>
      <c r="F3" s="25"/>
      <c r="G3" s="25"/>
      <c r="H3" s="25"/>
      <c r="I3" s="25"/>
      <c r="J3" s="25"/>
    </row>
    <row r="4" spans="1:10">
      <c r="A4" s="7" t="s">
        <v>422</v>
      </c>
      <c r="B4" s="25"/>
      <c r="C4" s="25"/>
      <c r="D4" s="25"/>
      <c r="E4" s="257" t="s">
        <v>423</v>
      </c>
      <c r="F4" s="257"/>
      <c r="G4" s="257"/>
      <c r="H4" s="257"/>
      <c r="I4" s="257"/>
      <c r="J4" s="25"/>
    </row>
    <row r="5" spans="1:10">
      <c r="A5" s="102"/>
      <c r="B5" s="260" t="s">
        <v>500</v>
      </c>
      <c r="C5" s="261"/>
      <c r="D5" s="260" t="s">
        <v>500</v>
      </c>
      <c r="E5" s="261"/>
      <c r="F5" s="271" t="s">
        <v>501</v>
      </c>
      <c r="G5" s="272"/>
      <c r="H5" s="258" t="s">
        <v>502</v>
      </c>
      <c r="I5" s="259"/>
      <c r="J5" s="25"/>
    </row>
    <row r="6" spans="1:10">
      <c r="A6" s="102" t="s">
        <v>434</v>
      </c>
      <c r="B6" s="116" t="str">
        <f>Innehåll!D79</f>
        <v xml:space="preserve"> 2024-01</v>
      </c>
      <c r="C6" s="116" t="str">
        <f>Innehåll!D80</f>
        <v xml:space="preserve"> 2023-01</v>
      </c>
      <c r="D6" s="116" t="str">
        <f>Innehåll!D81</f>
        <v>YTD  2024</v>
      </c>
      <c r="E6" s="116" t="str">
        <f>Innehåll!D82</f>
        <v>YTD  2023</v>
      </c>
      <c r="F6" s="130" t="str">
        <f>B6</f>
        <v xml:space="preserve"> 2024-01</v>
      </c>
      <c r="G6" s="117" t="str">
        <f>D6</f>
        <v>YTD  2024</v>
      </c>
      <c r="H6" s="116" t="str">
        <f>D6</f>
        <v>YTD  2024</v>
      </c>
      <c r="I6" s="131" t="str">
        <f>E6</f>
        <v>YTD  2023</v>
      </c>
      <c r="J6" s="25"/>
    </row>
    <row r="7" spans="1:10" ht="15.25" hidden="1" customHeight="1">
      <c r="A7" s="25" t="s">
        <v>224</v>
      </c>
      <c r="B7" s="25" t="s">
        <v>26</v>
      </c>
      <c r="C7" s="25" t="s">
        <v>279</v>
      </c>
      <c r="D7" s="25" t="s">
        <v>280</v>
      </c>
      <c r="E7" s="25" t="s">
        <v>281</v>
      </c>
      <c r="F7" s="25" t="s">
        <v>282</v>
      </c>
      <c r="G7" s="25" t="s">
        <v>31</v>
      </c>
      <c r="H7" s="25" t="s">
        <v>283</v>
      </c>
      <c r="I7" s="25" t="s">
        <v>284</v>
      </c>
      <c r="J7" s="25"/>
    </row>
    <row r="8" spans="1:10">
      <c r="A8" s="25" t="s">
        <v>438</v>
      </c>
      <c r="B8" s="25">
        <v>2</v>
      </c>
      <c r="C8" s="25">
        <v>0</v>
      </c>
      <c r="D8" s="25">
        <v>2</v>
      </c>
      <c r="E8" s="25">
        <v>0</v>
      </c>
      <c r="F8" s="25">
        <v>0</v>
      </c>
      <c r="G8" s="25">
        <v>0</v>
      </c>
      <c r="H8" s="25">
        <v>50</v>
      </c>
      <c r="I8" s="25">
        <v>0</v>
      </c>
      <c r="J8" s="25"/>
    </row>
    <row r="9" spans="1:10">
      <c r="A9" s="25" t="s">
        <v>258</v>
      </c>
      <c r="B9" s="25">
        <v>1</v>
      </c>
      <c r="C9" s="25">
        <v>0</v>
      </c>
      <c r="D9" s="25">
        <v>1</v>
      </c>
      <c r="E9" s="25">
        <v>0</v>
      </c>
      <c r="F9" s="58">
        <v>0</v>
      </c>
      <c r="G9" s="58">
        <v>0</v>
      </c>
      <c r="H9" s="25">
        <v>25</v>
      </c>
      <c r="I9" s="25">
        <v>0</v>
      </c>
      <c r="J9" s="25"/>
    </row>
    <row r="10" spans="1:10">
      <c r="A10" s="144" t="s">
        <v>276</v>
      </c>
      <c r="B10" s="144">
        <v>1</v>
      </c>
      <c r="C10" s="144">
        <v>1</v>
      </c>
      <c r="D10" s="144">
        <v>1</v>
      </c>
      <c r="E10" s="144">
        <v>1</v>
      </c>
      <c r="F10" s="146">
        <v>0</v>
      </c>
      <c r="G10" s="146">
        <v>0</v>
      </c>
      <c r="H10" s="144">
        <v>25</v>
      </c>
      <c r="I10" s="144">
        <v>100</v>
      </c>
      <c r="J10" s="25"/>
    </row>
    <row r="11" spans="1:10">
      <c r="A11" s="144" t="s">
        <v>425</v>
      </c>
      <c r="B11" s="144">
        <f>SUBTOTAL(109,Table_bdsql12_BDnewRegistrations_getAggBussEL[antalPerioden])</f>
        <v>4</v>
      </c>
      <c r="C11" s="144">
        <f>SUBTOTAL(109,Table_bdsql12_BDnewRegistrations_getAggBussEL[antalPeriodenFG])</f>
        <v>1</v>
      </c>
      <c r="D11" s="144">
        <f>SUBTOTAL(109,Table_bdsql12_BDnewRegistrations_getAggBussEL[antalAret])</f>
        <v>4</v>
      </c>
      <c r="E11" s="144">
        <f>SUBTOTAL(109,Table_bdsql12_BDnewRegistrations_getAggBussEL[antalAretFG])</f>
        <v>1</v>
      </c>
      <c r="F11" s="146">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300</v>
      </c>
      <c r="G11" s="146">
        <f>IF(Table_bdsql12_BDnewRegistrations_getAggBussEL[[#Totals],[antalAretFG]] &gt; 0,( Table_bdsql12_BDnewRegistrations_getAggBussEL[[#Totals],[antalAret]] - Table_bdsql12_BDnewRegistrations_getAggBussEL[[#Totals],[antalAretFG]] ) / Table_bdsql12_BDnewRegistrations_getAggBussEL[[#Totals],[antalAretFG]] * 100,0)</f>
        <v>300</v>
      </c>
      <c r="H11" s="148" t="str">
        <f>TEXT(100,"0,0")</f>
        <v>100,0</v>
      </c>
      <c r="I11" s="148" t="str">
        <f>TEXT(100,"0,0")</f>
        <v>100,0</v>
      </c>
      <c r="J11" s="25"/>
    </row>
    <row r="12" spans="1:10">
      <c r="A12" s="144"/>
      <c r="B12" s="144"/>
      <c r="C12" s="144"/>
      <c r="D12" s="144"/>
      <c r="E12" s="144"/>
      <c r="F12" s="146"/>
      <c r="G12" s="146"/>
      <c r="H12" s="148"/>
      <c r="I12" s="148"/>
      <c r="J12" s="25"/>
    </row>
    <row r="13" spans="1:10">
      <c r="A13" s="144"/>
      <c r="B13" s="145"/>
      <c r="C13" s="144"/>
      <c r="D13" s="145"/>
      <c r="E13" s="144"/>
      <c r="F13" s="144"/>
      <c r="G13" s="144"/>
      <c r="H13" s="144"/>
      <c r="I13" s="144"/>
      <c r="J13" s="25"/>
    </row>
    <row r="14" spans="1:10" s="5" customFormat="1">
      <c r="A14" s="144"/>
      <c r="B14" s="144"/>
      <c r="C14" s="144"/>
      <c r="D14" s="144"/>
      <c r="E14" s="144"/>
      <c r="F14" s="144"/>
      <c r="G14" s="144"/>
      <c r="H14" s="144"/>
      <c r="I14" s="144"/>
      <c r="J14" s="38"/>
    </row>
    <row r="15" spans="1:10">
      <c r="A15" s="144"/>
      <c r="B15" s="144"/>
      <c r="C15" s="144"/>
      <c r="D15" s="144"/>
      <c r="E15" s="144"/>
      <c r="F15" s="144"/>
      <c r="G15" s="144"/>
      <c r="H15" s="144"/>
      <c r="I15" s="144"/>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620</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N30" sqref="N30"/>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445</v>
      </c>
      <c r="R3" s="66"/>
      <c r="S3" s="66"/>
      <c r="T3" s="66"/>
      <c r="U3" s="91"/>
    </row>
    <row r="4" spans="17:21">
      <c r="Q4" s="25"/>
      <c r="R4" s="25"/>
      <c r="S4" s="25"/>
      <c r="T4" s="25"/>
      <c r="U4" s="25"/>
    </row>
    <row r="5" spans="17:21" ht="16" thickBot="1">
      <c r="Q5" s="19" t="s">
        <v>426</v>
      </c>
      <c r="R5" s="19">
        <v>2022</v>
      </c>
      <c r="S5" s="19">
        <v>2023</v>
      </c>
      <c r="T5" s="19">
        <v>2024</v>
      </c>
      <c r="U5" s="25"/>
    </row>
    <row r="6" spans="17:21">
      <c r="Q6" s="30" t="s">
        <v>2</v>
      </c>
      <c r="R6" s="30">
        <v>19893</v>
      </c>
      <c r="S6" s="30">
        <v>14601</v>
      </c>
      <c r="T6" s="30">
        <v>17164</v>
      </c>
      <c r="U6" s="25"/>
    </row>
    <row r="7" spans="17:21">
      <c r="Q7" s="30" t="s">
        <v>3</v>
      </c>
      <c r="R7" s="30">
        <v>21136</v>
      </c>
      <c r="S7" s="30">
        <v>18442</v>
      </c>
      <c r="T7" s="30"/>
      <c r="U7" s="25"/>
    </row>
    <row r="8" spans="17:21">
      <c r="Q8" s="30" t="s">
        <v>4</v>
      </c>
      <c r="R8" s="30">
        <v>28710</v>
      </c>
      <c r="S8" s="30">
        <v>30261</v>
      </c>
      <c r="T8" s="30"/>
      <c r="U8" s="25"/>
    </row>
    <row r="9" spans="17:21">
      <c r="Q9" s="30" t="s">
        <v>5</v>
      </c>
      <c r="R9" s="30">
        <v>21942</v>
      </c>
      <c r="S9" s="30">
        <v>20586</v>
      </c>
      <c r="T9" s="30"/>
      <c r="U9" s="25"/>
    </row>
    <row r="10" spans="17:21">
      <c r="Q10" s="30" t="s">
        <v>6</v>
      </c>
      <c r="R10" s="30">
        <v>26413</v>
      </c>
      <c r="S10" s="30">
        <v>28490</v>
      </c>
      <c r="T10" s="30"/>
      <c r="U10" s="25"/>
    </row>
    <row r="11" spans="17:21">
      <c r="Q11" s="30" t="s">
        <v>7</v>
      </c>
      <c r="R11" s="30">
        <v>26088</v>
      </c>
      <c r="S11" s="30">
        <v>28283</v>
      </c>
      <c r="T11" s="30"/>
      <c r="U11" s="25"/>
    </row>
    <row r="12" spans="17:21">
      <c r="Q12" s="30" t="s">
        <v>8</v>
      </c>
      <c r="R12" s="30">
        <v>17834</v>
      </c>
      <c r="S12" s="30">
        <v>17300</v>
      </c>
      <c r="T12" s="30"/>
      <c r="U12" s="25"/>
    </row>
    <row r="13" spans="17:21">
      <c r="Q13" s="30" t="s">
        <v>9</v>
      </c>
      <c r="R13" s="30">
        <v>20576</v>
      </c>
      <c r="S13" s="30">
        <v>23871</v>
      </c>
      <c r="T13" s="30"/>
      <c r="U13" s="25"/>
    </row>
    <row r="14" spans="17:21">
      <c r="Q14" s="30" t="s">
        <v>10</v>
      </c>
      <c r="R14" s="30">
        <v>22048</v>
      </c>
      <c r="S14" s="30">
        <v>28135</v>
      </c>
      <c r="T14" s="30"/>
      <c r="U14" s="25"/>
    </row>
    <row r="15" spans="17:21">
      <c r="Q15" s="30" t="s">
        <v>11</v>
      </c>
      <c r="R15" s="30">
        <v>22383</v>
      </c>
      <c r="S15" s="30">
        <v>25016</v>
      </c>
      <c r="T15" s="30"/>
      <c r="U15" s="25"/>
    </row>
    <row r="16" spans="17:21">
      <c r="Q16" s="30" t="s">
        <v>12</v>
      </c>
      <c r="R16" s="30">
        <v>25588</v>
      </c>
      <c r="S16" s="30">
        <v>25406</v>
      </c>
      <c r="T16" s="30"/>
      <c r="U16" s="25"/>
    </row>
    <row r="17" spans="17:21">
      <c r="Q17" s="30" t="s">
        <v>13</v>
      </c>
      <c r="R17" s="30">
        <v>35476</v>
      </c>
      <c r="S17" s="30">
        <v>29436</v>
      </c>
      <c r="T17" s="30"/>
      <c r="U17" s="25"/>
    </row>
    <row r="18" spans="17:21">
      <c r="Q18" s="28" t="s">
        <v>499</v>
      </c>
      <c r="R18" s="28">
        <f>SUMIF(T6:T17,"&gt;0",R6:R17)</f>
        <v>19893</v>
      </c>
      <c r="S18" s="28">
        <f>SUMIF(T6:T17,"&gt;0",S6:S17)</f>
        <v>14601</v>
      </c>
      <c r="T18" s="28">
        <f>SUM(T6:T17)</f>
        <v>17164</v>
      </c>
      <c r="U18" s="25"/>
    </row>
    <row r="19" spans="17:21">
      <c r="Q19" s="32" t="s">
        <v>498</v>
      </c>
      <c r="R19" s="32">
        <f>SUM(R6:R17)</f>
        <v>288087</v>
      </c>
      <c r="S19" s="32">
        <f>SUM(S6:S17)</f>
        <v>289827</v>
      </c>
      <c r="T19" s="32"/>
      <c r="U19" s="25"/>
    </row>
    <row r="20" spans="17:21">
      <c r="Q20" s="25"/>
      <c r="R20" s="25"/>
      <c r="S20" s="25"/>
      <c r="T20" s="25"/>
      <c r="U20" s="25"/>
    </row>
    <row r="21" spans="17:21">
      <c r="Q21" s="30" t="s">
        <v>423</v>
      </c>
      <c r="R21" s="25"/>
      <c r="S21" s="25"/>
      <c r="T21" s="25"/>
      <c r="U21" s="25"/>
    </row>
    <row r="22" spans="17:21">
      <c r="Q22" s="25"/>
      <c r="R22" s="25"/>
      <c r="S22" s="25"/>
      <c r="T22" s="25"/>
      <c r="U22" s="25"/>
    </row>
    <row r="23" spans="17:21" ht="17" thickBot="1">
      <c r="Q23" s="66" t="s">
        <v>511</v>
      </c>
      <c r="R23" s="66"/>
      <c r="S23" s="66"/>
      <c r="T23" s="66"/>
      <c r="U23" s="66"/>
    </row>
    <row r="24" spans="17:21">
      <c r="Q24" s="25"/>
      <c r="R24" s="25"/>
      <c r="S24" s="25"/>
      <c r="T24" s="25"/>
      <c r="U24" s="25"/>
    </row>
    <row r="25" spans="17:21">
      <c r="Q25" s="92" t="s">
        <v>508</v>
      </c>
      <c r="R25" s="93" t="s">
        <v>487</v>
      </c>
      <c r="S25" s="93" t="str">
        <f>[0]!Manaden</f>
        <v>Januari</v>
      </c>
      <c r="T25" s="93" t="s">
        <v>499</v>
      </c>
      <c r="U25" s="25"/>
    </row>
    <row r="26" spans="17:21">
      <c r="Q26" s="55" t="s">
        <v>509</v>
      </c>
      <c r="R26" s="55">
        <v>2024</v>
      </c>
      <c r="S26" s="55">
        <v>366</v>
      </c>
      <c r="T26" s="55">
        <v>366</v>
      </c>
      <c r="U26" s="25"/>
    </row>
    <row r="27" spans="17:21">
      <c r="Q27" s="55" t="s">
        <v>509</v>
      </c>
      <c r="R27" s="55">
        <v>2023</v>
      </c>
      <c r="S27" s="55">
        <v>479</v>
      </c>
      <c r="T27" s="55">
        <v>479</v>
      </c>
      <c r="U27" s="25"/>
    </row>
    <row r="28" spans="17:21">
      <c r="Q28" s="55" t="s">
        <v>510</v>
      </c>
      <c r="R28" s="55">
        <v>2024</v>
      </c>
      <c r="S28" s="55">
        <v>30</v>
      </c>
      <c r="T28" s="55">
        <v>30</v>
      </c>
      <c r="U28" s="25"/>
    </row>
    <row r="29" spans="17:21">
      <c r="Q29" s="55" t="s">
        <v>510</v>
      </c>
      <c r="R29" s="55">
        <v>2023</v>
      </c>
      <c r="S29" s="55">
        <v>60</v>
      </c>
      <c r="T29" s="55">
        <v>60</v>
      </c>
      <c r="U29" s="25"/>
    </row>
    <row r="30" spans="17:21">
      <c r="Q30" s="25"/>
      <c r="R30" s="25"/>
      <c r="S30" s="25"/>
      <c r="T30" s="25"/>
      <c r="U30" s="25"/>
    </row>
    <row r="31" spans="17:21">
      <c r="Q31" s="30" t="s">
        <v>512</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600</v>
      </c>
      <c r="R37" s="58">
        <v>-3.3053030671268169</v>
      </c>
      <c r="S37" s="25"/>
      <c r="T37" s="25"/>
      <c r="U37" s="25"/>
    </row>
    <row r="38" spans="14:22">
      <c r="Q38" s="30" t="s">
        <v>615</v>
      </c>
      <c r="R38" s="58">
        <v>-7.4484389368130666</v>
      </c>
      <c r="S38" s="25"/>
      <c r="T38" s="25"/>
      <c r="U38" s="25"/>
    </row>
    <row r="39" spans="14:22">
      <c r="Q39" s="30" t="s">
        <v>633</v>
      </c>
      <c r="R39" s="58">
        <v>-39.506953223767383</v>
      </c>
      <c r="S39" s="25"/>
      <c r="T39" s="25"/>
      <c r="U39" s="25"/>
    </row>
    <row r="40" spans="14:22">
      <c r="Q40" s="30" t="s">
        <v>642</v>
      </c>
      <c r="R40" s="58">
        <v>0.32463078963010383</v>
      </c>
      <c r="S40" s="25"/>
      <c r="T40" s="25"/>
      <c r="U40" s="25"/>
    </row>
    <row r="41" spans="14:22">
      <c r="Q41" s="30" t="s">
        <v>647</v>
      </c>
      <c r="R41" s="58">
        <v>8.5748345459777209</v>
      </c>
      <c r="S41" s="25"/>
      <c r="T41" s="25"/>
      <c r="U41" s="25"/>
    </row>
    <row r="42" spans="14:22">
      <c r="Q42" s="30" t="s">
        <v>650</v>
      </c>
      <c r="R42" s="58">
        <v>-27.724061504363483</v>
      </c>
      <c r="S42" s="25"/>
      <c r="T42" s="25"/>
      <c r="U42" s="25"/>
    </row>
    <row r="43" spans="14:22">
      <c r="N43" s="35"/>
      <c r="Q43" s="30" t="s">
        <v>907</v>
      </c>
      <c r="R43" s="58">
        <v>6.2939563714387887</v>
      </c>
      <c r="S43" s="25"/>
      <c r="T43" s="25"/>
      <c r="U43" s="25"/>
    </row>
    <row r="44" spans="14:22">
      <c r="Q44" s="30" t="s">
        <v>913</v>
      </c>
      <c r="R44" s="58">
        <v>3.877221324717286</v>
      </c>
      <c r="S44" s="25"/>
      <c r="T44" s="25"/>
      <c r="U44" s="25"/>
    </row>
    <row r="45" spans="14:22">
      <c r="Q45" s="30" t="s">
        <v>927</v>
      </c>
      <c r="R45" s="58">
        <v>-2.5890253600777591</v>
      </c>
      <c r="S45" s="25"/>
      <c r="T45" s="25"/>
      <c r="U45" s="25"/>
    </row>
    <row r="46" spans="14:22">
      <c r="Q46" s="30" t="s">
        <v>937</v>
      </c>
      <c r="R46" s="58">
        <v>12.128043282236249</v>
      </c>
      <c r="S46" s="25"/>
      <c r="T46" s="25"/>
      <c r="U46" s="25"/>
    </row>
    <row r="47" spans="14:22">
      <c r="Q47" s="30" t="s">
        <v>949</v>
      </c>
      <c r="R47" s="58">
        <v>21.523556231003038</v>
      </c>
      <c r="S47" s="25"/>
      <c r="T47" s="25"/>
      <c r="U47" s="25"/>
    </row>
    <row r="48" spans="14:22">
      <c r="Q48" s="30" t="s">
        <v>963</v>
      </c>
      <c r="R48" s="58">
        <v>28.620114567471539</v>
      </c>
      <c r="S48" s="25"/>
      <c r="T48" s="25"/>
      <c r="U48" s="25"/>
    </row>
    <row r="49" spans="17:21">
      <c r="Q49" s="30" t="s">
        <v>987</v>
      </c>
      <c r="R49" s="58">
        <v>-26.602322424973607</v>
      </c>
      <c r="T49" s="25"/>
      <c r="U49" s="25"/>
    </row>
    <row r="50" spans="17:21">
      <c r="Q50" s="221" t="s">
        <v>1003</v>
      </c>
      <c r="R50" s="58">
        <v>-12.746025738077213</v>
      </c>
      <c r="T50" s="25"/>
      <c r="U50" s="25"/>
    </row>
    <row r="51" spans="17:21">
      <c r="Q51" s="221" t="s">
        <v>1016</v>
      </c>
      <c r="R51" s="58">
        <v>5.4022988505747129</v>
      </c>
      <c r="T51" s="25"/>
      <c r="U51" s="25"/>
    </row>
    <row r="52" spans="17:21">
      <c r="Q52" s="221" t="s">
        <v>1027</v>
      </c>
      <c r="R52" s="58">
        <v>-6.179928903472792</v>
      </c>
      <c r="T52" s="25"/>
      <c r="U52" s="25"/>
    </row>
    <row r="53" spans="17:21">
      <c r="Q53" s="221" t="s">
        <v>1042</v>
      </c>
      <c r="R53" s="58">
        <v>7.8635520387687885</v>
      </c>
      <c r="T53" s="25"/>
      <c r="U53" s="25"/>
    </row>
    <row r="54" spans="17:21">
      <c r="Q54" s="221" t="s">
        <v>1062</v>
      </c>
      <c r="R54" s="58">
        <v>8.4138301134621294</v>
      </c>
      <c r="T54" s="25"/>
      <c r="U54" s="25"/>
    </row>
    <row r="55" spans="17:21">
      <c r="Q55" s="221" t="s">
        <v>1068</v>
      </c>
      <c r="R55" s="58">
        <v>-2.9942805876415837</v>
      </c>
      <c r="T55" s="25"/>
      <c r="U55" s="25"/>
    </row>
    <row r="56" spans="17:21">
      <c r="Q56" s="221" t="s">
        <v>1074</v>
      </c>
      <c r="R56" s="58">
        <v>16.013802488335926</v>
      </c>
      <c r="T56" s="25"/>
      <c r="U56" s="25"/>
    </row>
    <row r="57" spans="17:21">
      <c r="Q57" s="221" t="s">
        <v>1083</v>
      </c>
      <c r="R57" s="58">
        <v>27.607946298984036</v>
      </c>
      <c r="T57" s="25"/>
      <c r="U57" s="25"/>
    </row>
    <row r="58" spans="17:21">
      <c r="Q58" s="221" t="s">
        <v>1102</v>
      </c>
      <c r="R58" s="58">
        <v>11.76339185989367</v>
      </c>
      <c r="T58" s="25"/>
      <c r="U58" s="25"/>
    </row>
    <row r="59" spans="17:21">
      <c r="Q59" s="221" t="s">
        <v>1118</v>
      </c>
      <c r="R59" s="58">
        <v>-0.71127090823823669</v>
      </c>
      <c r="T59" s="25"/>
      <c r="U59" s="25"/>
    </row>
    <row r="60" spans="17:21">
      <c r="Q60" s="15" t="s">
        <v>1123</v>
      </c>
      <c r="R60" s="58">
        <v>-17.025594768294059</v>
      </c>
      <c r="T60" s="25"/>
      <c r="U60" s="25"/>
    </row>
    <row r="61" spans="17:21">
      <c r="Q61" s="221" t="s">
        <v>1135</v>
      </c>
      <c r="R61" s="57">
        <f>((T6-S6)/S6)*100</f>
        <v>17.553592219710978</v>
      </c>
      <c r="S61" s="25"/>
      <c r="T61" s="25"/>
      <c r="U61" s="25"/>
    </row>
    <row r="62" spans="17:21">
      <c r="Q62" s="221"/>
      <c r="R62" s="57"/>
      <c r="S62" s="25"/>
      <c r="T62" s="25"/>
      <c r="U62" s="25"/>
    </row>
    <row r="63" spans="17:21">
      <c r="Q63" s="221"/>
      <c r="R63" s="57"/>
      <c r="S63" s="25"/>
      <c r="T63" s="25"/>
      <c r="U63" s="25"/>
    </row>
    <row r="64" spans="17:21">
      <c r="Q64" s="221"/>
      <c r="R64" s="57"/>
      <c r="S64" s="25"/>
      <c r="T64" s="25"/>
      <c r="U64" s="25"/>
    </row>
    <row r="65" spans="1:21">
      <c r="A65" s="94"/>
      <c r="Q65" s="221"/>
      <c r="R65" s="57"/>
      <c r="S65" s="25"/>
      <c r="T65" s="25"/>
      <c r="U65" s="25"/>
    </row>
    <row r="66" spans="1:21">
      <c r="Q66" s="221"/>
      <c r="R66" s="57"/>
      <c r="S66" s="25"/>
      <c r="T66" s="25"/>
      <c r="U66" s="25"/>
    </row>
    <row r="67" spans="1:21">
      <c r="A67" s="94" t="s">
        <v>620</v>
      </c>
      <c r="Q67" s="221"/>
      <c r="R67" s="57"/>
      <c r="S67" s="25"/>
      <c r="T67" s="25"/>
      <c r="U67" s="25"/>
    </row>
    <row r="68" spans="1:21">
      <c r="Q68" s="221"/>
      <c r="R68" s="57"/>
      <c r="S68" s="25"/>
      <c r="T68" s="25"/>
      <c r="U68" s="25"/>
    </row>
    <row r="69" spans="1:21">
      <c r="Q69" s="221"/>
      <c r="R69" s="57"/>
      <c r="S69" s="25"/>
      <c r="T69" s="25"/>
      <c r="U69" s="25"/>
    </row>
    <row r="70" spans="1:21">
      <c r="Q70" s="221"/>
      <c r="R70" s="57"/>
      <c r="S70" s="25"/>
      <c r="T70" s="25"/>
      <c r="U70" s="25"/>
    </row>
    <row r="71" spans="1:21">
      <c r="Q71" s="221"/>
      <c r="R71" s="57"/>
      <c r="S71" s="25"/>
      <c r="T71" s="25"/>
      <c r="U71" s="25"/>
    </row>
    <row r="72" spans="1:21">
      <c r="Q72" s="15"/>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2:Q56"/>
  <sheetViews>
    <sheetView workbookViewId="0">
      <pane ySplit="6" topLeftCell="A7" activePane="bottomLeft" state="frozen"/>
      <selection pane="bottomLeft" activeCell="J10" sqref="J10"/>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489</v>
      </c>
      <c r="E2" s="56"/>
      <c r="F2" s="56"/>
      <c r="G2" s="56"/>
      <c r="H2" s="56"/>
      <c r="I2" s="56"/>
      <c r="J2" s="56"/>
      <c r="K2" s="56"/>
      <c r="L2" s="56"/>
    </row>
    <row r="3" spans="1:17" ht="20.5" customHeight="1"/>
    <row r="4" spans="1:17">
      <c r="A4" s="55" t="s">
        <v>488</v>
      </c>
      <c r="B4" s="25"/>
      <c r="C4" s="25"/>
      <c r="D4" s="25"/>
      <c r="E4" s="80"/>
      <c r="F4" s="80"/>
      <c r="G4" s="257" t="s">
        <v>423</v>
      </c>
      <c r="H4" s="257"/>
      <c r="I4" s="257"/>
      <c r="J4" s="257"/>
      <c r="K4" s="257"/>
      <c r="L4" s="257"/>
      <c r="M4" s="257"/>
      <c r="N4" s="257"/>
      <c r="O4" s="257"/>
      <c r="P4" s="25"/>
      <c r="Q4" s="25"/>
    </row>
    <row r="5" spans="1:17">
      <c r="A5" s="102" t="s">
        <v>434</v>
      </c>
      <c r="B5" s="102" t="s">
        <v>487</v>
      </c>
      <c r="C5" s="210" t="s">
        <v>499</v>
      </c>
      <c r="D5" s="210" t="s">
        <v>2</v>
      </c>
      <c r="E5" s="210" t="s">
        <v>3</v>
      </c>
      <c r="F5" s="210" t="s">
        <v>486</v>
      </c>
      <c r="G5" s="210" t="s">
        <v>485</v>
      </c>
      <c r="H5" s="210" t="s">
        <v>6</v>
      </c>
      <c r="I5" s="210" t="s">
        <v>484</v>
      </c>
      <c r="J5" s="210" t="s">
        <v>483</v>
      </c>
      <c r="K5" s="210" t="s">
        <v>9</v>
      </c>
      <c r="L5" s="210" t="s">
        <v>10</v>
      </c>
      <c r="M5" s="210" t="s">
        <v>11</v>
      </c>
      <c r="N5" s="210" t="s">
        <v>12</v>
      </c>
      <c r="O5" s="210" t="s">
        <v>13</v>
      </c>
      <c r="P5" s="25"/>
      <c r="Q5" s="25"/>
    </row>
    <row r="6" spans="1:17" hidden="1">
      <c r="A6" s="144"/>
      <c r="B6" s="144"/>
      <c r="C6" s="144" t="s">
        <v>482</v>
      </c>
      <c r="D6" s="144" t="s">
        <v>481</v>
      </c>
      <c r="E6" s="144" t="s">
        <v>480</v>
      </c>
      <c r="F6" s="144" t="s">
        <v>479</v>
      </c>
      <c r="G6" s="144" t="s">
        <v>478</v>
      </c>
      <c r="H6" s="144" t="s">
        <v>477</v>
      </c>
      <c r="I6" s="144" t="s">
        <v>476</v>
      </c>
      <c r="J6" s="144" t="s">
        <v>475</v>
      </c>
      <c r="K6" s="144" t="s">
        <v>474</v>
      </c>
      <c r="L6" s="144" t="s">
        <v>473</v>
      </c>
      <c r="M6" s="144" t="s">
        <v>472</v>
      </c>
      <c r="N6" s="144" t="s">
        <v>471</v>
      </c>
      <c r="O6" s="144" t="s">
        <v>470</v>
      </c>
      <c r="P6" s="25"/>
      <c r="Q6" s="25"/>
    </row>
    <row r="7" spans="1:17">
      <c r="A7" s="163" t="s">
        <v>252</v>
      </c>
      <c r="B7" s="144"/>
      <c r="C7" s="145"/>
      <c r="D7" s="144"/>
      <c r="E7" s="144"/>
      <c r="F7" s="144"/>
      <c r="G7" s="144"/>
      <c r="H7" s="144"/>
      <c r="I7" s="144"/>
      <c r="J7" s="144"/>
      <c r="K7" s="144"/>
      <c r="L7" s="144"/>
      <c r="M7" s="144"/>
      <c r="N7" s="144"/>
      <c r="O7" s="144"/>
      <c r="P7" s="25"/>
      <c r="Q7" s="25"/>
    </row>
    <row r="8" spans="1:17">
      <c r="A8" s="144"/>
      <c r="B8" s="163">
        <v>2023</v>
      </c>
      <c r="C8" s="145">
        <v>0</v>
      </c>
      <c r="D8" s="144">
        <v>0</v>
      </c>
      <c r="E8" s="144">
        <v>0</v>
      </c>
      <c r="F8" s="144">
        <v>0</v>
      </c>
      <c r="G8" s="144">
        <v>0</v>
      </c>
      <c r="H8" s="144">
        <v>1</v>
      </c>
      <c r="I8" s="144">
        <v>0</v>
      </c>
      <c r="J8" s="144">
        <v>0</v>
      </c>
      <c r="K8" s="144">
        <v>3</v>
      </c>
      <c r="L8" s="144">
        <v>1</v>
      </c>
      <c r="M8" s="144">
        <v>0</v>
      </c>
      <c r="N8" s="144">
        <v>0</v>
      </c>
      <c r="O8" s="144">
        <v>0</v>
      </c>
      <c r="P8" s="25"/>
      <c r="Q8" s="25"/>
    </row>
    <row r="9" spans="1:17">
      <c r="A9" s="163"/>
      <c r="B9" s="144"/>
      <c r="C9" s="145"/>
      <c r="D9" s="144"/>
      <c r="E9" s="144"/>
      <c r="F9" s="144"/>
      <c r="G9" s="144"/>
      <c r="H9" s="144"/>
      <c r="I9" s="144"/>
      <c r="J9" s="144"/>
      <c r="K9" s="144"/>
      <c r="L9" s="144"/>
      <c r="M9" s="144"/>
      <c r="N9" s="144"/>
      <c r="O9" s="144"/>
      <c r="P9" s="25"/>
      <c r="Q9" s="25"/>
    </row>
    <row r="10" spans="1:17">
      <c r="A10" s="163" t="s">
        <v>357</v>
      </c>
      <c r="B10" s="144"/>
      <c r="C10" s="145"/>
      <c r="D10" s="144"/>
      <c r="E10" s="144"/>
      <c r="F10" s="144"/>
      <c r="G10" s="144"/>
      <c r="H10" s="144"/>
      <c r="I10" s="144"/>
      <c r="J10" s="144"/>
      <c r="K10" s="144"/>
      <c r="L10" s="144"/>
      <c r="M10" s="144"/>
      <c r="N10" s="144"/>
      <c r="O10" s="144"/>
      <c r="P10" s="25"/>
      <c r="Q10" s="25"/>
    </row>
    <row r="11" spans="1:17">
      <c r="A11" s="144"/>
      <c r="B11" s="163">
        <v>2023</v>
      </c>
      <c r="C11" s="145">
        <v>0</v>
      </c>
      <c r="D11" s="144">
        <v>0</v>
      </c>
      <c r="E11" s="144">
        <v>2</v>
      </c>
      <c r="F11" s="144">
        <v>0</v>
      </c>
      <c r="G11" s="144">
        <v>8</v>
      </c>
      <c r="H11" s="144">
        <v>1</v>
      </c>
      <c r="I11" s="144">
        <v>0</v>
      </c>
      <c r="J11" s="144">
        <v>3</v>
      </c>
      <c r="K11" s="144">
        <v>0</v>
      </c>
      <c r="L11" s="144">
        <v>1</v>
      </c>
      <c r="M11" s="144">
        <v>0</v>
      </c>
      <c r="N11" s="144">
        <v>0</v>
      </c>
      <c r="O11" s="144">
        <v>1</v>
      </c>
      <c r="P11" s="25"/>
      <c r="Q11" s="25"/>
    </row>
    <row r="12" spans="1:17">
      <c r="A12" s="163"/>
      <c r="B12" s="144"/>
      <c r="C12" s="145"/>
      <c r="D12" s="144"/>
      <c r="E12" s="144"/>
      <c r="F12" s="144"/>
      <c r="G12" s="144"/>
      <c r="H12" s="144"/>
      <c r="I12" s="144"/>
      <c r="J12" s="144"/>
      <c r="K12" s="144"/>
      <c r="L12" s="144"/>
      <c r="M12" s="144"/>
      <c r="N12" s="144"/>
      <c r="O12" s="144"/>
      <c r="P12" s="25"/>
      <c r="Q12" s="25"/>
    </row>
    <row r="13" spans="1:17">
      <c r="A13" s="163" t="s">
        <v>439</v>
      </c>
      <c r="B13" s="144"/>
      <c r="C13" s="145"/>
      <c r="D13" s="144"/>
      <c r="E13" s="144"/>
      <c r="F13" s="144"/>
      <c r="G13" s="144"/>
      <c r="H13" s="144"/>
      <c r="I13" s="144"/>
      <c r="J13" s="144"/>
      <c r="K13" s="144"/>
      <c r="L13" s="144"/>
      <c r="M13" s="144"/>
      <c r="N13" s="144"/>
      <c r="O13" s="144"/>
      <c r="P13" s="25"/>
      <c r="Q13" s="25"/>
    </row>
    <row r="14" spans="1:17">
      <c r="A14" s="144"/>
      <c r="B14" s="163">
        <v>2023</v>
      </c>
      <c r="C14" s="145">
        <v>2</v>
      </c>
      <c r="D14" s="144">
        <v>2</v>
      </c>
      <c r="E14" s="144">
        <v>4</v>
      </c>
      <c r="F14" s="144">
        <v>1</v>
      </c>
      <c r="G14" s="144">
        <v>1</v>
      </c>
      <c r="H14" s="144">
        <v>3</v>
      </c>
      <c r="I14" s="144">
        <v>1</v>
      </c>
      <c r="J14" s="144">
        <v>0</v>
      </c>
      <c r="K14" s="144">
        <v>1</v>
      </c>
      <c r="L14" s="144">
        <v>0</v>
      </c>
      <c r="M14" s="144">
        <v>0</v>
      </c>
      <c r="N14" s="144">
        <v>1</v>
      </c>
      <c r="O14" s="144">
        <v>2</v>
      </c>
      <c r="P14" s="25"/>
      <c r="Q14" s="25"/>
    </row>
    <row r="15" spans="1:17">
      <c r="A15" s="163"/>
      <c r="B15" s="144"/>
      <c r="C15" s="145"/>
      <c r="D15" s="144"/>
      <c r="E15" s="144"/>
      <c r="F15" s="144"/>
      <c r="G15" s="144"/>
      <c r="H15" s="144"/>
      <c r="I15" s="144"/>
      <c r="J15" s="144"/>
      <c r="K15" s="144"/>
      <c r="L15" s="144"/>
      <c r="M15" s="144"/>
      <c r="N15" s="144"/>
      <c r="O15" s="144"/>
      <c r="P15" s="25"/>
      <c r="Q15" s="25"/>
    </row>
    <row r="16" spans="1:17">
      <c r="A16" s="163" t="s">
        <v>468</v>
      </c>
      <c r="B16" s="144"/>
      <c r="C16" s="145"/>
      <c r="D16" s="144"/>
      <c r="E16" s="144"/>
      <c r="F16" s="144"/>
      <c r="G16" s="144"/>
      <c r="H16" s="144"/>
      <c r="I16" s="144"/>
      <c r="J16" s="144"/>
      <c r="K16" s="144"/>
      <c r="L16" s="144"/>
      <c r="M16" s="144"/>
      <c r="N16" s="144"/>
      <c r="O16" s="144"/>
      <c r="P16" s="25"/>
      <c r="Q16" s="25"/>
    </row>
    <row r="17" spans="1:17">
      <c r="A17" s="144"/>
      <c r="B17" s="163">
        <v>2023</v>
      </c>
      <c r="C17" s="145">
        <v>0</v>
      </c>
      <c r="D17" s="144">
        <v>0</v>
      </c>
      <c r="E17" s="144">
        <v>0</v>
      </c>
      <c r="F17" s="144">
        <v>3</v>
      </c>
      <c r="G17" s="144">
        <v>3</v>
      </c>
      <c r="H17" s="144">
        <v>0</v>
      </c>
      <c r="I17" s="144">
        <v>0</v>
      </c>
      <c r="J17" s="144">
        <v>0</v>
      </c>
      <c r="K17" s="144">
        <v>0</v>
      </c>
      <c r="L17" s="144">
        <v>0</v>
      </c>
      <c r="M17" s="144">
        <v>0</v>
      </c>
      <c r="N17" s="144">
        <v>0</v>
      </c>
      <c r="O17" s="144">
        <v>0</v>
      </c>
      <c r="P17" s="25"/>
      <c r="Q17" s="25"/>
    </row>
    <row r="18" spans="1:17">
      <c r="A18" s="163"/>
      <c r="B18" s="144"/>
      <c r="C18" s="145"/>
      <c r="D18" s="144"/>
      <c r="E18" s="144"/>
      <c r="F18" s="144"/>
      <c r="G18" s="144"/>
      <c r="H18" s="144"/>
      <c r="I18" s="144"/>
      <c r="J18" s="144"/>
      <c r="K18" s="144"/>
      <c r="L18" s="144"/>
      <c r="M18" s="144"/>
      <c r="N18" s="144"/>
      <c r="O18" s="144"/>
      <c r="P18" s="25"/>
      <c r="Q18" s="25"/>
    </row>
    <row r="19" spans="1:17">
      <c r="A19" s="163" t="s">
        <v>275</v>
      </c>
      <c r="B19" s="144"/>
      <c r="C19" s="145"/>
      <c r="D19" s="144"/>
      <c r="E19" s="144"/>
      <c r="F19" s="144"/>
      <c r="G19" s="144"/>
      <c r="H19" s="144"/>
      <c r="I19" s="144"/>
      <c r="J19" s="144"/>
      <c r="K19" s="144"/>
      <c r="L19" s="144"/>
      <c r="M19" s="144"/>
      <c r="N19" s="144"/>
      <c r="O19" s="144"/>
      <c r="P19" s="25"/>
      <c r="Q19" s="25"/>
    </row>
    <row r="20" spans="1:17">
      <c r="A20" s="144"/>
      <c r="B20" s="163">
        <v>2024</v>
      </c>
      <c r="C20" s="145">
        <v>3</v>
      </c>
      <c r="D20" s="144">
        <v>3</v>
      </c>
      <c r="E20" s="144">
        <v>0</v>
      </c>
      <c r="F20" s="144">
        <v>0</v>
      </c>
      <c r="G20" s="144">
        <v>0</v>
      </c>
      <c r="H20" s="144">
        <v>0</v>
      </c>
      <c r="I20" s="144">
        <v>0</v>
      </c>
      <c r="J20" s="144">
        <v>0</v>
      </c>
      <c r="K20" s="144">
        <v>0</v>
      </c>
      <c r="L20" s="144">
        <v>0</v>
      </c>
      <c r="M20" s="144">
        <v>0</v>
      </c>
      <c r="N20" s="144">
        <v>0</v>
      </c>
      <c r="O20" s="144">
        <v>0</v>
      </c>
      <c r="P20" s="25"/>
      <c r="Q20" s="25"/>
    </row>
    <row r="21" spans="1:17">
      <c r="A21" s="144"/>
      <c r="B21" s="163">
        <v>2023</v>
      </c>
      <c r="C21" s="145">
        <v>5</v>
      </c>
      <c r="D21" s="144">
        <v>5</v>
      </c>
      <c r="E21" s="144">
        <v>14</v>
      </c>
      <c r="F21" s="144">
        <v>5</v>
      </c>
      <c r="G21" s="144">
        <v>9</v>
      </c>
      <c r="H21" s="144">
        <v>3</v>
      </c>
      <c r="I21" s="144">
        <v>0</v>
      </c>
      <c r="J21" s="144">
        <v>1</v>
      </c>
      <c r="K21" s="144">
        <v>1</v>
      </c>
      <c r="L21" s="144">
        <v>1</v>
      </c>
      <c r="M21" s="144">
        <v>0</v>
      </c>
      <c r="N21" s="144">
        <v>2</v>
      </c>
      <c r="O21" s="144">
        <v>0</v>
      </c>
      <c r="P21" s="25"/>
      <c r="Q21" s="25"/>
    </row>
    <row r="22" spans="1:17">
      <c r="A22" s="163"/>
      <c r="B22" s="144"/>
      <c r="C22" s="145"/>
      <c r="D22" s="144"/>
      <c r="E22" s="144"/>
      <c r="F22" s="144"/>
      <c r="G22" s="144"/>
      <c r="H22" s="144"/>
      <c r="I22" s="144"/>
      <c r="J22" s="144"/>
      <c r="K22" s="144"/>
      <c r="L22" s="144"/>
      <c r="M22" s="144"/>
      <c r="N22" s="144"/>
      <c r="O22" s="144"/>
      <c r="P22" s="25"/>
      <c r="Q22" s="25"/>
    </row>
    <row r="23" spans="1:17">
      <c r="A23" s="163" t="s">
        <v>276</v>
      </c>
      <c r="B23" s="144"/>
      <c r="C23" s="145"/>
      <c r="D23" s="144"/>
      <c r="E23" s="144"/>
      <c r="F23" s="144"/>
      <c r="G23" s="144"/>
      <c r="H23" s="144"/>
      <c r="I23" s="144"/>
      <c r="J23" s="144"/>
      <c r="K23" s="144"/>
      <c r="L23" s="144"/>
      <c r="M23" s="144"/>
      <c r="N23" s="144"/>
      <c r="O23" s="144"/>
      <c r="P23" s="25"/>
      <c r="Q23" s="25"/>
    </row>
    <row r="24" spans="1:17">
      <c r="A24" s="144"/>
      <c r="B24" s="163">
        <v>2024</v>
      </c>
      <c r="C24" s="145">
        <v>1</v>
      </c>
      <c r="D24" s="144">
        <v>1</v>
      </c>
      <c r="E24" s="144">
        <v>0</v>
      </c>
      <c r="F24" s="144">
        <v>0</v>
      </c>
      <c r="G24" s="144">
        <v>0</v>
      </c>
      <c r="H24" s="144">
        <v>0</v>
      </c>
      <c r="I24" s="144">
        <v>0</v>
      </c>
      <c r="J24" s="144">
        <v>0</v>
      </c>
      <c r="K24" s="144">
        <v>0</v>
      </c>
      <c r="L24" s="144">
        <v>0</v>
      </c>
      <c r="M24" s="144">
        <v>0</v>
      </c>
      <c r="N24" s="144">
        <v>0</v>
      </c>
      <c r="O24" s="144">
        <v>0</v>
      </c>
      <c r="P24" s="25"/>
      <c r="Q24" s="25"/>
    </row>
    <row r="25" spans="1:17">
      <c r="A25" s="144"/>
      <c r="B25" s="163">
        <v>2023</v>
      </c>
      <c r="C25" s="145">
        <v>0</v>
      </c>
      <c r="D25" s="144">
        <v>0</v>
      </c>
      <c r="E25" s="144">
        <v>3</v>
      </c>
      <c r="F25" s="144">
        <v>1</v>
      </c>
      <c r="G25" s="144">
        <v>2</v>
      </c>
      <c r="H25" s="144">
        <v>0</v>
      </c>
      <c r="I25" s="144">
        <v>0</v>
      </c>
      <c r="J25" s="144">
        <v>0</v>
      </c>
      <c r="K25" s="144">
        <v>0</v>
      </c>
      <c r="L25" s="144">
        <v>0</v>
      </c>
      <c r="M25" s="144">
        <v>0</v>
      </c>
      <c r="N25" s="144">
        <v>0</v>
      </c>
      <c r="O25" s="144">
        <v>0</v>
      </c>
      <c r="P25" s="25"/>
      <c r="Q25" s="25"/>
    </row>
    <row r="26" spans="1:17">
      <c r="A26" s="163"/>
      <c r="B26" s="144"/>
      <c r="C26" s="145"/>
      <c r="D26" s="144"/>
      <c r="E26" s="144"/>
      <c r="F26" s="144"/>
      <c r="G26" s="144"/>
      <c r="H26" s="144"/>
      <c r="I26" s="144"/>
      <c r="J26" s="144"/>
      <c r="K26" s="144"/>
      <c r="L26" s="144"/>
      <c r="M26" s="144"/>
      <c r="N26" s="144"/>
      <c r="O26" s="144"/>
      <c r="P26" s="25"/>
      <c r="Q26" s="25"/>
    </row>
    <row r="27" spans="1:17">
      <c r="A27" s="163" t="s">
        <v>467</v>
      </c>
      <c r="B27" s="144"/>
      <c r="C27" s="145"/>
      <c r="D27" s="144"/>
      <c r="E27" s="144"/>
      <c r="F27" s="144"/>
      <c r="G27" s="144"/>
      <c r="H27" s="144"/>
      <c r="I27" s="144"/>
      <c r="J27" s="144"/>
      <c r="K27" s="144"/>
      <c r="L27" s="144"/>
      <c r="M27" s="144"/>
      <c r="N27" s="144"/>
      <c r="O27" s="144"/>
      <c r="P27" s="25"/>
      <c r="Q27" s="25"/>
    </row>
    <row r="28" spans="1:17">
      <c r="A28" s="144"/>
      <c r="B28" s="163">
        <v>2024</v>
      </c>
      <c r="C28" s="145">
        <v>4</v>
      </c>
      <c r="D28" s="144">
        <v>4</v>
      </c>
      <c r="E28" s="144">
        <v>0</v>
      </c>
      <c r="F28" s="144">
        <v>0</v>
      </c>
      <c r="G28" s="144">
        <v>0</v>
      </c>
      <c r="H28" s="144">
        <v>0</v>
      </c>
      <c r="I28" s="144">
        <v>0</v>
      </c>
      <c r="J28" s="144">
        <v>0</v>
      </c>
      <c r="K28" s="144">
        <v>0</v>
      </c>
      <c r="L28" s="144">
        <v>0</v>
      </c>
      <c r="M28" s="144">
        <v>0</v>
      </c>
      <c r="N28" s="144">
        <v>0</v>
      </c>
      <c r="O28" s="144">
        <v>0</v>
      </c>
      <c r="P28" s="25"/>
      <c r="Q28" s="25"/>
    </row>
    <row r="29" spans="1:17">
      <c r="A29" s="144"/>
      <c r="B29" s="163">
        <v>2023</v>
      </c>
      <c r="C29" s="145">
        <v>7</v>
      </c>
      <c r="D29" s="144">
        <v>7</v>
      </c>
      <c r="E29" s="144">
        <v>23</v>
      </c>
      <c r="F29" s="144">
        <v>10</v>
      </c>
      <c r="G29" s="144">
        <v>23</v>
      </c>
      <c r="H29" s="144">
        <v>8</v>
      </c>
      <c r="I29" s="144">
        <v>1</v>
      </c>
      <c r="J29" s="144">
        <v>4</v>
      </c>
      <c r="K29" s="144">
        <v>5</v>
      </c>
      <c r="L29" s="144">
        <v>3</v>
      </c>
      <c r="M29" s="144">
        <v>0</v>
      </c>
      <c r="N29" s="144">
        <v>3</v>
      </c>
      <c r="O29" s="144">
        <v>3</v>
      </c>
      <c r="P29" s="25"/>
      <c r="Q29" s="25"/>
    </row>
    <row r="30" spans="1:17">
      <c r="A30" s="163"/>
      <c r="B30" s="144"/>
      <c r="C30" s="145"/>
      <c r="D30" s="144"/>
      <c r="E30" s="144"/>
      <c r="F30" s="144"/>
      <c r="G30" s="144"/>
      <c r="H30" s="144"/>
      <c r="I30" s="144"/>
      <c r="J30" s="144"/>
      <c r="K30" s="144"/>
      <c r="L30" s="144"/>
      <c r="M30" s="144"/>
      <c r="N30" s="144"/>
      <c r="O30" s="144"/>
      <c r="P30" s="25"/>
      <c r="Q30" s="25"/>
    </row>
    <row r="31" spans="1:17">
      <c r="P31" s="25"/>
      <c r="Q31" s="25"/>
    </row>
    <row r="32" spans="1:17">
      <c r="P32" s="25"/>
      <c r="Q32" s="25"/>
    </row>
    <row r="33" spans="1:17">
      <c r="P33" s="25"/>
      <c r="Q33" s="25"/>
    </row>
    <row r="34" spans="1:17">
      <c r="P34" s="25"/>
      <c r="Q34" s="25"/>
    </row>
    <row r="35" spans="1:17">
      <c r="P35" s="25"/>
      <c r="Q35" s="25"/>
    </row>
    <row r="36" spans="1:17">
      <c r="P36" s="25"/>
      <c r="Q36" s="25"/>
    </row>
    <row r="37" spans="1:17">
      <c r="P37" s="25"/>
      <c r="Q37" s="25"/>
    </row>
    <row r="38" spans="1:17">
      <c r="P38" s="25"/>
      <c r="Q38" s="25"/>
    </row>
    <row r="39" spans="1:17">
      <c r="P39" s="25"/>
      <c r="Q39" s="25"/>
    </row>
    <row r="40" spans="1:17">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t="s">
        <v>620</v>
      </c>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scale="6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79"/>
  <sheetViews>
    <sheetView showZeros="0" workbookViewId="0">
      <pane ySplit="7" topLeftCell="A8" activePane="bottomLeft" state="frozen"/>
      <selection activeCell="D49" sqref="D49"/>
      <selection pane="bottomLeft" activeCell="N17" sqref="N17"/>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421</v>
      </c>
      <c r="D2" s="56"/>
      <c r="E2" s="56"/>
      <c r="F2" s="56"/>
      <c r="G2" s="56"/>
    </row>
    <row r="4" spans="1:12">
      <c r="A4" s="7" t="s">
        <v>422</v>
      </c>
      <c r="B4" s="55"/>
      <c r="C4" s="64"/>
      <c r="D4" s="64"/>
      <c r="E4" s="25"/>
      <c r="F4" s="25"/>
      <c r="G4" s="25"/>
      <c r="H4" s="227" t="s">
        <v>423</v>
      </c>
      <c r="I4" s="227"/>
      <c r="J4" s="227"/>
      <c r="K4" s="227"/>
      <c r="L4" s="227"/>
    </row>
    <row r="5" spans="1:12">
      <c r="A5" s="95"/>
      <c r="B5" s="96"/>
      <c r="C5" s="230" t="s">
        <v>500</v>
      </c>
      <c r="D5" s="229"/>
      <c r="E5" s="230" t="s">
        <v>500</v>
      </c>
      <c r="F5" s="229"/>
      <c r="G5" s="231" t="s">
        <v>501</v>
      </c>
      <c r="H5" s="232"/>
      <c r="I5" s="228" t="s">
        <v>502</v>
      </c>
      <c r="J5" s="229"/>
      <c r="K5" s="228" t="s">
        <v>502</v>
      </c>
      <c r="L5" s="229"/>
    </row>
    <row r="6" spans="1:12">
      <c r="A6" s="95"/>
      <c r="B6" s="96" t="s">
        <v>424</v>
      </c>
      <c r="C6" s="97" t="str">
        <f>Innehåll!D79</f>
        <v xml:space="preserve"> 2024-01</v>
      </c>
      <c r="D6" s="97" t="str">
        <f>Innehåll!D80</f>
        <v xml:space="preserve"> 2023-01</v>
      </c>
      <c r="E6" s="97" t="str">
        <f>Innehåll!D81</f>
        <v>YTD  2024</v>
      </c>
      <c r="F6" s="97" t="str">
        <f>Innehåll!D82</f>
        <v>YTD  2023</v>
      </c>
      <c r="G6" s="98" t="str">
        <f>C6</f>
        <v xml:space="preserve"> 2024-01</v>
      </c>
      <c r="H6" s="99" t="str">
        <f>E6</f>
        <v>YTD  2024</v>
      </c>
      <c r="I6" s="97" t="str">
        <f>C6</f>
        <v xml:space="preserve"> 2024-01</v>
      </c>
      <c r="J6" s="100" t="str">
        <f>E6</f>
        <v>YTD  2024</v>
      </c>
      <c r="K6" s="101" t="str">
        <f>D6</f>
        <v xml:space="preserve"> 2023-01</v>
      </c>
      <c r="L6" s="101" t="str">
        <f>F6</f>
        <v>YTD  2023</v>
      </c>
    </row>
    <row r="7" spans="1:12" ht="15.2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39</v>
      </c>
      <c r="C8" s="55">
        <v>893</v>
      </c>
      <c r="D8" s="55">
        <v>792</v>
      </c>
      <c r="E8" s="55">
        <v>893</v>
      </c>
      <c r="F8" s="55">
        <v>792</v>
      </c>
      <c r="G8" s="55">
        <v>12.75</v>
      </c>
      <c r="H8" s="55">
        <v>12.75</v>
      </c>
      <c r="I8" s="55">
        <v>5.2</v>
      </c>
      <c r="J8" s="55">
        <v>5.2</v>
      </c>
      <c r="K8" s="55">
        <v>5.42</v>
      </c>
      <c r="L8" s="55">
        <v>5.42</v>
      </c>
    </row>
    <row r="9" spans="1:12">
      <c r="A9" s="55">
        <v>2</v>
      </c>
      <c r="B9" s="55" t="s">
        <v>43</v>
      </c>
      <c r="C9" s="55">
        <v>700</v>
      </c>
      <c r="D9" s="55">
        <v>882</v>
      </c>
      <c r="E9" s="55">
        <v>700</v>
      </c>
      <c r="F9" s="55">
        <v>882</v>
      </c>
      <c r="G9" s="55">
        <v>-20.63</v>
      </c>
      <c r="H9" s="55">
        <v>-20.63</v>
      </c>
      <c r="I9" s="55">
        <v>4.08</v>
      </c>
      <c r="J9" s="55">
        <v>4.08</v>
      </c>
      <c r="K9" s="55">
        <v>6.04</v>
      </c>
      <c r="L9" s="55">
        <v>6.04</v>
      </c>
    </row>
    <row r="10" spans="1:12">
      <c r="A10" s="55">
        <v>3</v>
      </c>
      <c r="B10" s="55" t="s">
        <v>553</v>
      </c>
      <c r="C10" s="55">
        <v>577</v>
      </c>
      <c r="D10" s="55">
        <v>102</v>
      </c>
      <c r="E10" s="55">
        <v>577</v>
      </c>
      <c r="F10" s="55">
        <v>102</v>
      </c>
      <c r="G10" s="55">
        <v>465.69</v>
      </c>
      <c r="H10" s="55">
        <v>465.69</v>
      </c>
      <c r="I10" s="55">
        <v>3.36</v>
      </c>
      <c r="J10" s="55">
        <v>3.36</v>
      </c>
      <c r="K10" s="55">
        <v>0.7</v>
      </c>
      <c r="L10" s="55">
        <v>0.7</v>
      </c>
    </row>
    <row r="11" spans="1:12">
      <c r="A11" s="55">
        <v>4</v>
      </c>
      <c r="B11" s="55" t="s">
        <v>50</v>
      </c>
      <c r="C11" s="55">
        <v>566</v>
      </c>
      <c r="D11" s="55">
        <v>228</v>
      </c>
      <c r="E11" s="55">
        <v>566</v>
      </c>
      <c r="F11" s="55">
        <v>228</v>
      </c>
      <c r="G11" s="55">
        <v>148.25</v>
      </c>
      <c r="H11" s="55">
        <v>148.25</v>
      </c>
      <c r="I11" s="55">
        <v>3.3</v>
      </c>
      <c r="J11" s="55">
        <v>3.3</v>
      </c>
      <c r="K11" s="55">
        <v>1.56</v>
      </c>
      <c r="L11" s="55">
        <v>1.56</v>
      </c>
    </row>
    <row r="12" spans="1:12">
      <c r="A12" s="55">
        <v>5</v>
      </c>
      <c r="B12" s="55" t="s">
        <v>36</v>
      </c>
      <c r="C12" s="55">
        <v>445</v>
      </c>
      <c r="D12" s="55">
        <v>656</v>
      </c>
      <c r="E12" s="55">
        <v>445</v>
      </c>
      <c r="F12" s="55">
        <v>656</v>
      </c>
      <c r="G12" s="55">
        <v>-32.159999999999997</v>
      </c>
      <c r="H12" s="55">
        <v>-32.159999999999997</v>
      </c>
      <c r="I12" s="55">
        <v>2.59</v>
      </c>
      <c r="J12" s="55">
        <v>2.59</v>
      </c>
      <c r="K12" s="55">
        <v>4.49</v>
      </c>
      <c r="L12" s="55">
        <v>4.49</v>
      </c>
    </row>
    <row r="13" spans="1:12">
      <c r="A13" s="55">
        <v>6</v>
      </c>
      <c r="B13" s="55" t="s">
        <v>41</v>
      </c>
      <c r="C13" s="55">
        <v>382</v>
      </c>
      <c r="D13" s="55">
        <v>67</v>
      </c>
      <c r="E13" s="55">
        <v>382</v>
      </c>
      <c r="F13" s="55">
        <v>67</v>
      </c>
      <c r="G13" s="55">
        <v>470.15</v>
      </c>
      <c r="H13" s="55">
        <v>470.15</v>
      </c>
      <c r="I13" s="55">
        <v>2.23</v>
      </c>
      <c r="J13" s="55">
        <v>2.23</v>
      </c>
      <c r="K13" s="55">
        <v>0.46</v>
      </c>
      <c r="L13" s="55">
        <v>0.46</v>
      </c>
    </row>
    <row r="14" spans="1:12">
      <c r="A14" s="55">
        <v>7</v>
      </c>
      <c r="B14" s="55" t="s">
        <v>579</v>
      </c>
      <c r="C14" s="55">
        <v>344</v>
      </c>
      <c r="D14" s="55">
        <v>372</v>
      </c>
      <c r="E14" s="55">
        <v>344</v>
      </c>
      <c r="F14" s="55">
        <v>372</v>
      </c>
      <c r="G14" s="55">
        <v>-7.53</v>
      </c>
      <c r="H14" s="55">
        <v>-7.53</v>
      </c>
      <c r="I14" s="55">
        <v>2</v>
      </c>
      <c r="J14" s="55">
        <v>2</v>
      </c>
      <c r="K14" s="55">
        <v>2.5499999999999998</v>
      </c>
      <c r="L14" s="55">
        <v>2.5499999999999998</v>
      </c>
    </row>
    <row r="15" spans="1:12">
      <c r="A15" s="55">
        <v>8</v>
      </c>
      <c r="B15" s="55" t="s">
        <v>210</v>
      </c>
      <c r="C15" s="55">
        <v>298</v>
      </c>
      <c r="D15" s="55">
        <v>286</v>
      </c>
      <c r="E15" s="55">
        <v>298</v>
      </c>
      <c r="F15" s="55">
        <v>286</v>
      </c>
      <c r="G15" s="55">
        <v>4.2</v>
      </c>
      <c r="H15" s="55">
        <v>4.2</v>
      </c>
      <c r="I15" s="55">
        <v>1.74</v>
      </c>
      <c r="J15" s="55">
        <v>1.74</v>
      </c>
      <c r="K15" s="55">
        <v>1.96</v>
      </c>
      <c r="L15" s="55">
        <v>1.96</v>
      </c>
    </row>
    <row r="16" spans="1:12">
      <c r="A16" s="55">
        <v>9</v>
      </c>
      <c r="B16" s="55" t="s">
        <v>448</v>
      </c>
      <c r="C16" s="55">
        <v>288</v>
      </c>
      <c r="D16" s="55">
        <v>276</v>
      </c>
      <c r="E16" s="55">
        <v>288</v>
      </c>
      <c r="F16" s="55">
        <v>276</v>
      </c>
      <c r="G16" s="55">
        <v>4.3499999999999996</v>
      </c>
      <c r="H16" s="55">
        <v>4.3499999999999996</v>
      </c>
      <c r="I16" s="55">
        <v>1.68</v>
      </c>
      <c r="J16" s="55">
        <v>1.68</v>
      </c>
      <c r="K16" s="55">
        <v>1.89</v>
      </c>
      <c r="L16" s="55">
        <v>1.89</v>
      </c>
    </row>
    <row r="17" spans="1:12">
      <c r="A17" s="55">
        <v>10</v>
      </c>
      <c r="B17" s="55" t="s">
        <v>548</v>
      </c>
      <c r="C17" s="55">
        <v>286</v>
      </c>
      <c r="D17" s="55">
        <v>102</v>
      </c>
      <c r="E17" s="55">
        <v>286</v>
      </c>
      <c r="F17" s="55">
        <v>102</v>
      </c>
      <c r="G17" s="55">
        <v>180.39</v>
      </c>
      <c r="H17" s="55">
        <v>180.39</v>
      </c>
      <c r="I17" s="55">
        <v>1.67</v>
      </c>
      <c r="J17" s="55">
        <v>1.67</v>
      </c>
      <c r="K17" s="55">
        <v>0.7</v>
      </c>
      <c r="L17" s="55">
        <v>0.7</v>
      </c>
    </row>
    <row r="18" spans="1:12">
      <c r="A18" s="55">
        <v>11</v>
      </c>
      <c r="B18" s="55" t="s">
        <v>40</v>
      </c>
      <c r="C18" s="55">
        <v>284</v>
      </c>
      <c r="D18" s="55">
        <v>94</v>
      </c>
      <c r="E18" s="55">
        <v>284</v>
      </c>
      <c r="F18" s="55">
        <v>94</v>
      </c>
      <c r="G18" s="55">
        <v>202.13</v>
      </c>
      <c r="H18" s="55">
        <v>202.13</v>
      </c>
      <c r="I18" s="55">
        <v>1.65</v>
      </c>
      <c r="J18" s="55">
        <v>1.65</v>
      </c>
      <c r="K18" s="55">
        <v>0.64</v>
      </c>
      <c r="L18" s="55">
        <v>0.64</v>
      </c>
    </row>
    <row r="19" spans="1:12">
      <c r="A19" s="55">
        <v>12</v>
      </c>
      <c r="B19" s="55" t="s">
        <v>1120</v>
      </c>
      <c r="C19" s="55">
        <v>274</v>
      </c>
      <c r="D19" s="55">
        <v>0</v>
      </c>
      <c r="E19" s="55">
        <v>274</v>
      </c>
      <c r="F19" s="55">
        <v>0</v>
      </c>
      <c r="G19" s="55">
        <v>0</v>
      </c>
      <c r="H19" s="55">
        <v>0</v>
      </c>
      <c r="I19" s="55">
        <v>1.6</v>
      </c>
      <c r="J19" s="55">
        <v>1.6</v>
      </c>
      <c r="K19" s="55">
        <v>0</v>
      </c>
      <c r="L19" s="55">
        <v>0</v>
      </c>
    </row>
    <row r="20" spans="1:12">
      <c r="A20" s="55">
        <v>13</v>
      </c>
      <c r="B20" s="55" t="s">
        <v>1093</v>
      </c>
      <c r="C20" s="55">
        <v>259</v>
      </c>
      <c r="D20" s="55">
        <v>0</v>
      </c>
      <c r="E20" s="55">
        <v>259</v>
      </c>
      <c r="F20" s="55">
        <v>0</v>
      </c>
      <c r="G20" s="55">
        <v>0</v>
      </c>
      <c r="H20" s="55">
        <v>0</v>
      </c>
      <c r="I20" s="55">
        <v>1.51</v>
      </c>
      <c r="J20" s="55">
        <v>1.51</v>
      </c>
      <c r="K20" s="55">
        <v>0</v>
      </c>
      <c r="L20" s="55">
        <v>0</v>
      </c>
    </row>
    <row r="21" spans="1:12">
      <c r="A21" s="55">
        <v>14</v>
      </c>
      <c r="B21" s="55" t="s">
        <v>38</v>
      </c>
      <c r="C21" s="55">
        <v>258</v>
      </c>
      <c r="D21" s="55">
        <v>186</v>
      </c>
      <c r="E21" s="55">
        <v>258</v>
      </c>
      <c r="F21" s="55">
        <v>186</v>
      </c>
      <c r="G21" s="55">
        <v>38.71</v>
      </c>
      <c r="H21" s="55">
        <v>38.71</v>
      </c>
      <c r="I21" s="55">
        <v>1.5</v>
      </c>
      <c r="J21" s="55">
        <v>1.5</v>
      </c>
      <c r="K21" s="55">
        <v>1.27</v>
      </c>
      <c r="L21" s="55">
        <v>1.27</v>
      </c>
    </row>
    <row r="22" spans="1:12">
      <c r="A22" s="55">
        <v>15</v>
      </c>
      <c r="B22" s="55" t="s">
        <v>86</v>
      </c>
      <c r="C22" s="55">
        <v>257</v>
      </c>
      <c r="D22" s="55">
        <v>303</v>
      </c>
      <c r="E22" s="55">
        <v>257</v>
      </c>
      <c r="F22" s="55">
        <v>303</v>
      </c>
      <c r="G22" s="55">
        <v>-15.18</v>
      </c>
      <c r="H22" s="55">
        <v>-15.18</v>
      </c>
      <c r="I22" s="55">
        <v>1.5</v>
      </c>
      <c r="J22" s="55">
        <v>1.5</v>
      </c>
      <c r="K22" s="55">
        <v>2.08</v>
      </c>
      <c r="L22" s="55">
        <v>2.08</v>
      </c>
    </row>
    <row r="23" spans="1:12">
      <c r="A23" s="55">
        <v>16</v>
      </c>
      <c r="B23" s="55" t="s">
        <v>72</v>
      </c>
      <c r="C23" s="55">
        <v>252</v>
      </c>
      <c r="D23" s="55">
        <v>93</v>
      </c>
      <c r="E23" s="55">
        <v>252</v>
      </c>
      <c r="F23" s="55">
        <v>93</v>
      </c>
      <c r="G23" s="55">
        <v>170.97</v>
      </c>
      <c r="H23" s="55">
        <v>170.97</v>
      </c>
      <c r="I23" s="55">
        <v>1.47</v>
      </c>
      <c r="J23" s="55">
        <v>1.47</v>
      </c>
      <c r="K23" s="55">
        <v>0.64</v>
      </c>
      <c r="L23" s="55">
        <v>0.64</v>
      </c>
    </row>
    <row r="24" spans="1:12">
      <c r="A24" s="55">
        <v>17</v>
      </c>
      <c r="B24" s="55" t="s">
        <v>367</v>
      </c>
      <c r="C24" s="55">
        <v>232</v>
      </c>
      <c r="D24" s="55">
        <v>97</v>
      </c>
      <c r="E24" s="55">
        <v>232</v>
      </c>
      <c r="F24" s="55">
        <v>97</v>
      </c>
      <c r="G24" s="55">
        <v>139.18</v>
      </c>
      <c r="H24" s="55">
        <v>139.18</v>
      </c>
      <c r="I24" s="55">
        <v>1.35</v>
      </c>
      <c r="J24" s="55">
        <v>1.35</v>
      </c>
      <c r="K24" s="55">
        <v>0.66</v>
      </c>
      <c r="L24" s="55">
        <v>0.66</v>
      </c>
    </row>
    <row r="25" spans="1:12">
      <c r="A25" s="55">
        <v>18</v>
      </c>
      <c r="B25" s="55" t="s">
        <v>575</v>
      </c>
      <c r="C25" s="55">
        <v>227</v>
      </c>
      <c r="D25" s="55">
        <v>306</v>
      </c>
      <c r="E25" s="55">
        <v>227</v>
      </c>
      <c r="F25" s="55">
        <v>306</v>
      </c>
      <c r="G25" s="55">
        <v>-25.82</v>
      </c>
      <c r="H25" s="55">
        <v>-25.82</v>
      </c>
      <c r="I25" s="55">
        <v>1.32</v>
      </c>
      <c r="J25" s="55">
        <v>1.32</v>
      </c>
      <c r="K25" s="55">
        <v>2.1</v>
      </c>
      <c r="L25" s="55">
        <v>2.1</v>
      </c>
    </row>
    <row r="26" spans="1:12">
      <c r="A26" s="55">
        <v>19</v>
      </c>
      <c r="B26" s="55" t="s">
        <v>931</v>
      </c>
      <c r="C26" s="55">
        <v>217</v>
      </c>
      <c r="D26" s="55">
        <v>330</v>
      </c>
      <c r="E26" s="55">
        <v>217</v>
      </c>
      <c r="F26" s="55">
        <v>330</v>
      </c>
      <c r="G26" s="55">
        <v>-34.24</v>
      </c>
      <c r="H26" s="55">
        <v>-34.24</v>
      </c>
      <c r="I26" s="55">
        <v>1.26</v>
      </c>
      <c r="J26" s="55">
        <v>1.26</v>
      </c>
      <c r="K26" s="55">
        <v>2.2599999999999998</v>
      </c>
      <c r="L26" s="55">
        <v>2.2599999999999998</v>
      </c>
    </row>
    <row r="27" spans="1:12">
      <c r="A27" s="55">
        <v>20</v>
      </c>
      <c r="B27" s="55" t="s">
        <v>46</v>
      </c>
      <c r="C27" s="55">
        <v>215</v>
      </c>
      <c r="D27" s="55">
        <v>130</v>
      </c>
      <c r="E27" s="55">
        <v>215</v>
      </c>
      <c r="F27" s="55">
        <v>130</v>
      </c>
      <c r="G27" s="55">
        <v>65.38</v>
      </c>
      <c r="H27" s="55">
        <v>65.38</v>
      </c>
      <c r="I27" s="55">
        <v>1.25</v>
      </c>
      <c r="J27" s="55">
        <v>1.25</v>
      </c>
      <c r="K27" s="55">
        <v>0.89</v>
      </c>
      <c r="L27" s="55">
        <v>0.89</v>
      </c>
    </row>
    <row r="28" spans="1:12">
      <c r="A28" s="55">
        <v>21</v>
      </c>
      <c r="B28" s="55" t="s">
        <v>47</v>
      </c>
      <c r="C28" s="55">
        <v>207</v>
      </c>
      <c r="D28" s="55">
        <v>170</v>
      </c>
      <c r="E28" s="55">
        <v>207</v>
      </c>
      <c r="F28" s="55">
        <v>170</v>
      </c>
      <c r="G28" s="55">
        <v>21.76</v>
      </c>
      <c r="H28" s="55">
        <v>21.76</v>
      </c>
      <c r="I28" s="55">
        <v>1.21</v>
      </c>
      <c r="J28" s="55">
        <v>1.21</v>
      </c>
      <c r="K28" s="55">
        <v>1.1599999999999999</v>
      </c>
      <c r="L28" s="55">
        <v>1.1599999999999999</v>
      </c>
    </row>
    <row r="29" spans="1:12">
      <c r="A29" s="55">
        <v>22</v>
      </c>
      <c r="B29" s="55" t="s">
        <v>37</v>
      </c>
      <c r="C29" s="55">
        <v>204</v>
      </c>
      <c r="D29" s="55">
        <v>152</v>
      </c>
      <c r="E29" s="55">
        <v>204</v>
      </c>
      <c r="F29" s="55">
        <v>152</v>
      </c>
      <c r="G29" s="55">
        <v>34.21</v>
      </c>
      <c r="H29" s="55">
        <v>34.21</v>
      </c>
      <c r="I29" s="55">
        <v>1.19</v>
      </c>
      <c r="J29" s="55">
        <v>1.19</v>
      </c>
      <c r="K29" s="55">
        <v>1.04</v>
      </c>
      <c r="L29" s="55">
        <v>1.04</v>
      </c>
    </row>
    <row r="30" spans="1:12">
      <c r="A30" s="55">
        <v>23</v>
      </c>
      <c r="B30" s="55" t="s">
        <v>54</v>
      </c>
      <c r="C30" s="55">
        <v>202</v>
      </c>
      <c r="D30" s="55">
        <v>238</v>
      </c>
      <c r="E30" s="55">
        <v>202</v>
      </c>
      <c r="F30" s="55">
        <v>238</v>
      </c>
      <c r="G30" s="55">
        <v>-15.13</v>
      </c>
      <c r="H30" s="55">
        <v>-15.13</v>
      </c>
      <c r="I30" s="55">
        <v>1.18</v>
      </c>
      <c r="J30" s="55">
        <v>1.18</v>
      </c>
      <c r="K30" s="55">
        <v>1.63</v>
      </c>
      <c r="L30" s="55">
        <v>1.63</v>
      </c>
    </row>
    <row r="31" spans="1:12">
      <c r="A31" s="55">
        <v>24</v>
      </c>
      <c r="B31" s="55" t="s">
        <v>71</v>
      </c>
      <c r="C31" s="55">
        <v>198</v>
      </c>
      <c r="D31" s="55">
        <v>242</v>
      </c>
      <c r="E31" s="55">
        <v>198</v>
      </c>
      <c r="F31" s="55">
        <v>242</v>
      </c>
      <c r="G31" s="55">
        <v>-18.18</v>
      </c>
      <c r="H31" s="55">
        <v>-18.18</v>
      </c>
      <c r="I31" s="55">
        <v>1.1499999999999999</v>
      </c>
      <c r="J31" s="55">
        <v>1.1499999999999999</v>
      </c>
      <c r="K31" s="55">
        <v>1.66</v>
      </c>
      <c r="L31" s="55">
        <v>1.66</v>
      </c>
    </row>
    <row r="32" spans="1:12">
      <c r="A32" s="55">
        <v>25</v>
      </c>
      <c r="B32" s="55" t="s">
        <v>48</v>
      </c>
      <c r="C32" s="55">
        <v>193</v>
      </c>
      <c r="D32" s="55">
        <v>46</v>
      </c>
      <c r="E32" s="55">
        <v>193</v>
      </c>
      <c r="F32" s="55">
        <v>46</v>
      </c>
      <c r="G32" s="55">
        <v>319.57</v>
      </c>
      <c r="H32" s="55">
        <v>319.57</v>
      </c>
      <c r="I32" s="55">
        <v>1.1200000000000001</v>
      </c>
      <c r="J32" s="55">
        <v>1.1200000000000001</v>
      </c>
      <c r="K32" s="55">
        <v>0.32</v>
      </c>
      <c r="L32" s="55">
        <v>0.32</v>
      </c>
    </row>
    <row r="33" spans="1:12">
      <c r="A33" s="55">
        <v>26</v>
      </c>
      <c r="B33" s="55" t="s">
        <v>67</v>
      </c>
      <c r="C33" s="55">
        <v>187</v>
      </c>
      <c r="D33" s="55">
        <v>155</v>
      </c>
      <c r="E33" s="55">
        <v>187</v>
      </c>
      <c r="F33" s="55">
        <v>155</v>
      </c>
      <c r="G33" s="55">
        <v>20.65</v>
      </c>
      <c r="H33" s="55">
        <v>20.65</v>
      </c>
      <c r="I33" s="55">
        <v>1.0900000000000001</v>
      </c>
      <c r="J33" s="55">
        <v>1.0900000000000001</v>
      </c>
      <c r="K33" s="55">
        <v>1.06</v>
      </c>
      <c r="L33" s="55">
        <v>1.06</v>
      </c>
    </row>
    <row r="34" spans="1:12">
      <c r="A34" s="55">
        <v>27</v>
      </c>
      <c r="B34" s="55" t="s">
        <v>45</v>
      </c>
      <c r="C34" s="55">
        <v>185</v>
      </c>
      <c r="D34" s="55">
        <v>113</v>
      </c>
      <c r="E34" s="55">
        <v>185</v>
      </c>
      <c r="F34" s="55">
        <v>113</v>
      </c>
      <c r="G34" s="55">
        <v>63.72</v>
      </c>
      <c r="H34" s="55">
        <v>63.72</v>
      </c>
      <c r="I34" s="55">
        <v>1.08</v>
      </c>
      <c r="J34" s="55">
        <v>1.08</v>
      </c>
      <c r="K34" s="55">
        <v>0.77</v>
      </c>
      <c r="L34" s="55">
        <v>0.77</v>
      </c>
    </row>
    <row r="35" spans="1:12">
      <c r="A35" s="55">
        <v>28</v>
      </c>
      <c r="B35" s="55" t="s">
        <v>70</v>
      </c>
      <c r="C35" s="55">
        <v>182</v>
      </c>
      <c r="D35" s="55">
        <v>41</v>
      </c>
      <c r="E35" s="55">
        <v>182</v>
      </c>
      <c r="F35" s="55">
        <v>41</v>
      </c>
      <c r="G35" s="55">
        <v>343.9</v>
      </c>
      <c r="H35" s="55">
        <v>343.9</v>
      </c>
      <c r="I35" s="55">
        <v>1.06</v>
      </c>
      <c r="J35" s="55">
        <v>1.06</v>
      </c>
      <c r="K35" s="55">
        <v>0.28000000000000003</v>
      </c>
      <c r="L35" s="55">
        <v>0.28000000000000003</v>
      </c>
    </row>
    <row r="36" spans="1:12">
      <c r="A36" s="55">
        <v>29</v>
      </c>
      <c r="B36" s="55" t="s">
        <v>56</v>
      </c>
      <c r="C36" s="55">
        <v>175</v>
      </c>
      <c r="D36" s="55">
        <v>10</v>
      </c>
      <c r="E36" s="55">
        <v>175</v>
      </c>
      <c r="F36" s="55">
        <v>10</v>
      </c>
      <c r="G36" s="55">
        <v>1650</v>
      </c>
      <c r="H36" s="55">
        <v>1650</v>
      </c>
      <c r="I36" s="55">
        <v>1.02</v>
      </c>
      <c r="J36" s="55">
        <v>1.02</v>
      </c>
      <c r="K36" s="55">
        <v>7.0000000000000007E-2</v>
      </c>
      <c r="L36" s="55">
        <v>7.0000000000000007E-2</v>
      </c>
    </row>
    <row r="37" spans="1:12">
      <c r="A37" s="55">
        <v>30</v>
      </c>
      <c r="B37" s="55" t="s">
        <v>42</v>
      </c>
      <c r="C37" s="55">
        <v>174</v>
      </c>
      <c r="D37" s="55">
        <v>297</v>
      </c>
      <c r="E37" s="55">
        <v>174</v>
      </c>
      <c r="F37" s="55">
        <v>297</v>
      </c>
      <c r="G37" s="55">
        <v>-41.41</v>
      </c>
      <c r="H37" s="55">
        <v>-41.41</v>
      </c>
      <c r="I37" s="55">
        <v>1.01</v>
      </c>
      <c r="J37" s="55">
        <v>1.01</v>
      </c>
      <c r="K37" s="55">
        <v>2.0299999999999998</v>
      </c>
      <c r="L37" s="55">
        <v>2.0299999999999998</v>
      </c>
    </row>
    <row r="38" spans="1:12">
      <c r="A38" s="55">
        <v>31</v>
      </c>
      <c r="B38" s="55" t="s">
        <v>101</v>
      </c>
      <c r="C38" s="55">
        <v>174</v>
      </c>
      <c r="D38" s="55">
        <v>18</v>
      </c>
      <c r="E38" s="55">
        <v>174</v>
      </c>
      <c r="F38" s="55">
        <v>18</v>
      </c>
      <c r="G38" s="55">
        <v>866.67</v>
      </c>
      <c r="H38" s="55">
        <v>866.67</v>
      </c>
      <c r="I38" s="55">
        <v>1.01</v>
      </c>
      <c r="J38" s="55">
        <v>1.01</v>
      </c>
      <c r="K38" s="55">
        <v>0.12</v>
      </c>
      <c r="L38" s="55">
        <v>0.12</v>
      </c>
    </row>
    <row r="39" spans="1:12">
      <c r="A39" s="55">
        <v>32</v>
      </c>
      <c r="B39" s="55" t="s">
        <v>84</v>
      </c>
      <c r="C39" s="55">
        <v>173</v>
      </c>
      <c r="D39" s="55">
        <v>58</v>
      </c>
      <c r="E39" s="55">
        <v>173</v>
      </c>
      <c r="F39" s="55">
        <v>58</v>
      </c>
      <c r="G39" s="55">
        <v>198.28</v>
      </c>
      <c r="H39" s="55">
        <v>198.28</v>
      </c>
      <c r="I39" s="55">
        <v>1.01</v>
      </c>
      <c r="J39" s="55">
        <v>1.01</v>
      </c>
      <c r="K39" s="55">
        <v>0.4</v>
      </c>
      <c r="L39" s="55">
        <v>0.4</v>
      </c>
    </row>
    <row r="40" spans="1:12">
      <c r="A40" s="55">
        <v>33</v>
      </c>
      <c r="B40" s="55" t="s">
        <v>52</v>
      </c>
      <c r="C40" s="55">
        <v>170</v>
      </c>
      <c r="D40" s="55">
        <v>173</v>
      </c>
      <c r="E40" s="55">
        <v>170</v>
      </c>
      <c r="F40" s="55">
        <v>173</v>
      </c>
      <c r="G40" s="55">
        <v>-1.73</v>
      </c>
      <c r="H40" s="55">
        <v>-1.73</v>
      </c>
      <c r="I40" s="55">
        <v>0.99</v>
      </c>
      <c r="J40" s="55">
        <v>0.99</v>
      </c>
      <c r="K40" s="55">
        <v>1.18</v>
      </c>
      <c r="L40" s="55">
        <v>1.18</v>
      </c>
    </row>
    <row r="41" spans="1:12">
      <c r="A41" s="55">
        <v>34</v>
      </c>
      <c r="B41" s="55" t="s">
        <v>94</v>
      </c>
      <c r="C41" s="55">
        <v>164</v>
      </c>
      <c r="D41" s="55">
        <v>72</v>
      </c>
      <c r="E41" s="55">
        <v>164</v>
      </c>
      <c r="F41" s="55">
        <v>72</v>
      </c>
      <c r="G41" s="55">
        <v>127.78</v>
      </c>
      <c r="H41" s="55">
        <v>127.78</v>
      </c>
      <c r="I41" s="55">
        <v>0.96</v>
      </c>
      <c r="J41" s="55">
        <v>0.96</v>
      </c>
      <c r="K41" s="55">
        <v>0.49</v>
      </c>
      <c r="L41" s="55">
        <v>0.49</v>
      </c>
    </row>
    <row r="42" spans="1:12">
      <c r="A42" s="55">
        <v>35</v>
      </c>
      <c r="B42" s="55" t="s">
        <v>1087</v>
      </c>
      <c r="C42" s="55">
        <v>160</v>
      </c>
      <c r="D42" s="55">
        <v>0</v>
      </c>
      <c r="E42" s="55">
        <v>160</v>
      </c>
      <c r="F42" s="55">
        <v>0</v>
      </c>
      <c r="G42" s="55">
        <v>0</v>
      </c>
      <c r="H42" s="55">
        <v>0</v>
      </c>
      <c r="I42" s="55">
        <v>0.93</v>
      </c>
      <c r="J42" s="55">
        <v>0.93</v>
      </c>
      <c r="K42" s="55">
        <v>0</v>
      </c>
      <c r="L42" s="55">
        <v>0</v>
      </c>
    </row>
    <row r="43" spans="1:12">
      <c r="A43" s="55">
        <v>36</v>
      </c>
      <c r="B43" s="55" t="s">
        <v>587</v>
      </c>
      <c r="C43" s="55">
        <v>155</v>
      </c>
      <c r="D43" s="55">
        <v>165</v>
      </c>
      <c r="E43" s="55">
        <v>155</v>
      </c>
      <c r="F43" s="55">
        <v>165</v>
      </c>
      <c r="G43" s="55">
        <v>-6.06</v>
      </c>
      <c r="H43" s="55">
        <v>-6.06</v>
      </c>
      <c r="I43" s="55">
        <v>0.9</v>
      </c>
      <c r="J43" s="55">
        <v>0.9</v>
      </c>
      <c r="K43" s="55">
        <v>1.1299999999999999</v>
      </c>
      <c r="L43" s="55">
        <v>1.1299999999999999</v>
      </c>
    </row>
    <row r="44" spans="1:12">
      <c r="A44" s="55">
        <v>37</v>
      </c>
      <c r="B44" s="55" t="s">
        <v>55</v>
      </c>
      <c r="C44" s="55">
        <v>142</v>
      </c>
      <c r="D44" s="55">
        <v>96</v>
      </c>
      <c r="E44" s="55">
        <v>142</v>
      </c>
      <c r="F44" s="55">
        <v>96</v>
      </c>
      <c r="G44" s="55">
        <v>47.92</v>
      </c>
      <c r="H44" s="55">
        <v>47.92</v>
      </c>
      <c r="I44" s="55">
        <v>0.83</v>
      </c>
      <c r="J44" s="55">
        <v>0.83</v>
      </c>
      <c r="K44" s="55">
        <v>0.66</v>
      </c>
      <c r="L44" s="55">
        <v>0.66</v>
      </c>
    </row>
    <row r="45" spans="1:12">
      <c r="A45" s="55">
        <v>38</v>
      </c>
      <c r="B45" s="55" t="s">
        <v>588</v>
      </c>
      <c r="C45" s="55">
        <v>140</v>
      </c>
      <c r="D45" s="55">
        <v>93</v>
      </c>
      <c r="E45" s="55">
        <v>140</v>
      </c>
      <c r="F45" s="55">
        <v>93</v>
      </c>
      <c r="G45" s="55">
        <v>50.54</v>
      </c>
      <c r="H45" s="55">
        <v>50.54</v>
      </c>
      <c r="I45" s="55">
        <v>0.82</v>
      </c>
      <c r="J45" s="55">
        <v>0.82</v>
      </c>
      <c r="K45" s="55">
        <v>0.64</v>
      </c>
      <c r="L45" s="55">
        <v>0.64</v>
      </c>
    </row>
    <row r="46" spans="1:12">
      <c r="A46" s="55">
        <v>39</v>
      </c>
      <c r="B46" s="55" t="s">
        <v>391</v>
      </c>
      <c r="C46" s="55">
        <v>140</v>
      </c>
      <c r="D46" s="55">
        <v>59</v>
      </c>
      <c r="E46" s="55">
        <v>140</v>
      </c>
      <c r="F46" s="55">
        <v>59</v>
      </c>
      <c r="G46" s="55">
        <v>137.29</v>
      </c>
      <c r="H46" s="55">
        <v>137.29</v>
      </c>
      <c r="I46" s="55">
        <v>0.82</v>
      </c>
      <c r="J46" s="55">
        <v>0.82</v>
      </c>
      <c r="K46" s="55">
        <v>0.4</v>
      </c>
      <c r="L46" s="55">
        <v>0.4</v>
      </c>
    </row>
    <row r="47" spans="1:12">
      <c r="A47" s="55">
        <v>40</v>
      </c>
      <c r="B47" s="55" t="s">
        <v>64</v>
      </c>
      <c r="C47" s="55">
        <v>132</v>
      </c>
      <c r="D47" s="55">
        <v>98</v>
      </c>
      <c r="E47" s="55">
        <v>132</v>
      </c>
      <c r="F47" s="55">
        <v>98</v>
      </c>
      <c r="G47" s="55">
        <v>34.69</v>
      </c>
      <c r="H47" s="55">
        <v>34.69</v>
      </c>
      <c r="I47" s="55">
        <v>0.77</v>
      </c>
      <c r="J47" s="55">
        <v>0.77</v>
      </c>
      <c r="K47" s="55">
        <v>0.67</v>
      </c>
      <c r="L47" s="55">
        <v>0.67</v>
      </c>
    </row>
    <row r="48" spans="1:12">
      <c r="A48" s="55">
        <v>41</v>
      </c>
      <c r="B48" s="55" t="s">
        <v>182</v>
      </c>
      <c r="C48" s="55">
        <v>129</v>
      </c>
      <c r="D48" s="55">
        <v>49</v>
      </c>
      <c r="E48" s="55">
        <v>129</v>
      </c>
      <c r="F48" s="55">
        <v>49</v>
      </c>
      <c r="G48" s="55">
        <v>163.27000000000001</v>
      </c>
      <c r="H48" s="55">
        <v>163.27000000000001</v>
      </c>
      <c r="I48" s="55">
        <v>0.75</v>
      </c>
      <c r="J48" s="55">
        <v>0.75</v>
      </c>
      <c r="K48" s="55">
        <v>0.34</v>
      </c>
      <c r="L48" s="55">
        <v>0.34</v>
      </c>
    </row>
    <row r="49" spans="1:12">
      <c r="A49" s="55">
        <v>42</v>
      </c>
      <c r="B49" s="55" t="s">
        <v>527</v>
      </c>
      <c r="C49" s="55">
        <v>126</v>
      </c>
      <c r="D49" s="55">
        <v>41</v>
      </c>
      <c r="E49" s="55">
        <v>126</v>
      </c>
      <c r="F49" s="55">
        <v>41</v>
      </c>
      <c r="G49" s="55">
        <v>207.32</v>
      </c>
      <c r="H49" s="55">
        <v>207.32</v>
      </c>
      <c r="I49" s="55">
        <v>0.73</v>
      </c>
      <c r="J49" s="55">
        <v>0.73</v>
      </c>
      <c r="K49" s="55">
        <v>0.28000000000000003</v>
      </c>
      <c r="L49" s="55">
        <v>0.28000000000000003</v>
      </c>
    </row>
    <row r="50" spans="1:12">
      <c r="A50" s="55">
        <v>43</v>
      </c>
      <c r="B50" s="55" t="s">
        <v>595</v>
      </c>
      <c r="C50" s="55">
        <v>125</v>
      </c>
      <c r="D50" s="55">
        <v>72</v>
      </c>
      <c r="E50" s="55">
        <v>125</v>
      </c>
      <c r="F50" s="55">
        <v>72</v>
      </c>
      <c r="G50" s="55">
        <v>73.61</v>
      </c>
      <c r="H50" s="55">
        <v>73.61</v>
      </c>
      <c r="I50" s="55">
        <v>0.73</v>
      </c>
      <c r="J50" s="55">
        <v>0.73</v>
      </c>
      <c r="K50" s="55">
        <v>0.49</v>
      </c>
      <c r="L50" s="55">
        <v>0.49</v>
      </c>
    </row>
    <row r="51" spans="1:12">
      <c r="A51" s="55">
        <v>44</v>
      </c>
      <c r="B51" s="55" t="s">
        <v>635</v>
      </c>
      <c r="C51" s="55">
        <v>125</v>
      </c>
      <c r="D51" s="55">
        <v>45</v>
      </c>
      <c r="E51" s="55">
        <v>125</v>
      </c>
      <c r="F51" s="55">
        <v>45</v>
      </c>
      <c r="G51" s="55">
        <v>177.78</v>
      </c>
      <c r="H51" s="55">
        <v>177.78</v>
      </c>
      <c r="I51" s="55">
        <v>0.73</v>
      </c>
      <c r="J51" s="55">
        <v>0.73</v>
      </c>
      <c r="K51" s="55">
        <v>0.31</v>
      </c>
      <c r="L51" s="55">
        <v>0.31</v>
      </c>
    </row>
    <row r="52" spans="1:12">
      <c r="A52" s="55">
        <v>45</v>
      </c>
      <c r="B52" s="55" t="s">
        <v>74</v>
      </c>
      <c r="C52" s="55">
        <v>124</v>
      </c>
      <c r="D52" s="55">
        <v>40</v>
      </c>
      <c r="E52" s="55">
        <v>124</v>
      </c>
      <c r="F52" s="55">
        <v>40</v>
      </c>
      <c r="G52" s="55">
        <v>210</v>
      </c>
      <c r="H52" s="55">
        <v>210</v>
      </c>
      <c r="I52" s="55">
        <v>0.72</v>
      </c>
      <c r="J52" s="55">
        <v>0.72</v>
      </c>
      <c r="K52" s="55">
        <v>0.27</v>
      </c>
      <c r="L52" s="55">
        <v>0.27</v>
      </c>
    </row>
    <row r="53" spans="1:12">
      <c r="A53" s="55">
        <v>46</v>
      </c>
      <c r="B53" s="55" t="s">
        <v>118</v>
      </c>
      <c r="C53" s="55">
        <v>123</v>
      </c>
      <c r="D53" s="55">
        <v>41</v>
      </c>
      <c r="E53" s="55">
        <v>123</v>
      </c>
      <c r="F53" s="55">
        <v>41</v>
      </c>
      <c r="G53" s="55">
        <v>200</v>
      </c>
      <c r="H53" s="55">
        <v>200</v>
      </c>
      <c r="I53" s="55">
        <v>0.72</v>
      </c>
      <c r="J53" s="55">
        <v>0.72</v>
      </c>
      <c r="K53" s="55">
        <v>0.28000000000000003</v>
      </c>
      <c r="L53" s="55">
        <v>0.28000000000000003</v>
      </c>
    </row>
    <row r="54" spans="1:12">
      <c r="A54" s="55">
        <v>47</v>
      </c>
      <c r="B54" s="55" t="s">
        <v>526</v>
      </c>
      <c r="C54" s="55">
        <v>118</v>
      </c>
      <c r="D54" s="55">
        <v>153</v>
      </c>
      <c r="E54" s="55">
        <v>118</v>
      </c>
      <c r="F54" s="55">
        <v>153</v>
      </c>
      <c r="G54" s="55">
        <v>-22.88</v>
      </c>
      <c r="H54" s="55">
        <v>-22.88</v>
      </c>
      <c r="I54" s="55">
        <v>0.69</v>
      </c>
      <c r="J54" s="55">
        <v>0.69</v>
      </c>
      <c r="K54" s="55">
        <v>1.05</v>
      </c>
      <c r="L54" s="55">
        <v>1.05</v>
      </c>
    </row>
    <row r="55" spans="1:12">
      <c r="A55" s="55">
        <v>48</v>
      </c>
      <c r="B55" s="55" t="s">
        <v>78</v>
      </c>
      <c r="C55" s="55">
        <v>112</v>
      </c>
      <c r="D55" s="55">
        <v>134</v>
      </c>
      <c r="E55" s="55">
        <v>112</v>
      </c>
      <c r="F55" s="55">
        <v>134</v>
      </c>
      <c r="G55" s="55">
        <v>-16.420000000000002</v>
      </c>
      <c r="H55" s="55">
        <v>-16.420000000000002</v>
      </c>
      <c r="I55" s="55">
        <v>0.65</v>
      </c>
      <c r="J55" s="55">
        <v>0.65</v>
      </c>
      <c r="K55" s="55">
        <v>0.92</v>
      </c>
      <c r="L55" s="55">
        <v>0.92</v>
      </c>
    </row>
    <row r="56" spans="1:12">
      <c r="A56" s="55">
        <v>49</v>
      </c>
      <c r="B56" s="55" t="s">
        <v>135</v>
      </c>
      <c r="C56" s="55">
        <v>107</v>
      </c>
      <c r="D56" s="55">
        <v>73</v>
      </c>
      <c r="E56" s="55">
        <v>107</v>
      </c>
      <c r="F56" s="55">
        <v>73</v>
      </c>
      <c r="G56" s="55">
        <v>46.58</v>
      </c>
      <c r="H56" s="55">
        <v>46.58</v>
      </c>
      <c r="I56" s="55">
        <v>0.62</v>
      </c>
      <c r="J56" s="55">
        <v>0.62</v>
      </c>
      <c r="K56" s="55">
        <v>0.5</v>
      </c>
      <c r="L56" s="55">
        <v>0.5</v>
      </c>
    </row>
    <row r="57" spans="1:12">
      <c r="A57" s="55">
        <v>50</v>
      </c>
      <c r="B57" s="55" t="s">
        <v>49</v>
      </c>
      <c r="C57" s="55">
        <v>105</v>
      </c>
      <c r="D57" s="55">
        <v>147</v>
      </c>
      <c r="E57" s="55">
        <v>105</v>
      </c>
      <c r="F57" s="55">
        <v>147</v>
      </c>
      <c r="G57" s="55">
        <v>-28.57</v>
      </c>
      <c r="H57" s="55">
        <v>-28.57</v>
      </c>
      <c r="I57" s="55">
        <v>0.61</v>
      </c>
      <c r="J57" s="55">
        <v>0.61</v>
      </c>
      <c r="K57" s="55">
        <v>1.01</v>
      </c>
      <c r="L57" s="55">
        <v>1.01</v>
      </c>
    </row>
    <row r="58" spans="1:12">
      <c r="A58" s="55">
        <v>51</v>
      </c>
      <c r="B58" s="55" t="s">
        <v>100</v>
      </c>
      <c r="C58" s="55">
        <v>103</v>
      </c>
      <c r="D58" s="55">
        <v>83</v>
      </c>
      <c r="E58" s="55">
        <v>103</v>
      </c>
      <c r="F58" s="55">
        <v>83</v>
      </c>
      <c r="G58" s="55">
        <v>24.1</v>
      </c>
      <c r="H58" s="55">
        <v>24.1</v>
      </c>
      <c r="I58" s="55">
        <v>0.6</v>
      </c>
      <c r="J58" s="55">
        <v>0.6</v>
      </c>
      <c r="K58" s="55">
        <v>0.56999999999999995</v>
      </c>
      <c r="L58" s="55">
        <v>0.56999999999999995</v>
      </c>
    </row>
    <row r="59" spans="1:12">
      <c r="A59" s="55">
        <v>52</v>
      </c>
      <c r="B59" s="55" t="s">
        <v>53</v>
      </c>
      <c r="C59" s="55">
        <v>101</v>
      </c>
      <c r="D59" s="55">
        <v>97</v>
      </c>
      <c r="E59" s="55">
        <v>101</v>
      </c>
      <c r="F59" s="55">
        <v>97</v>
      </c>
      <c r="G59" s="55">
        <v>4.12</v>
      </c>
      <c r="H59" s="55">
        <v>4.12</v>
      </c>
      <c r="I59" s="55">
        <v>0.59</v>
      </c>
      <c r="J59" s="55">
        <v>0.59</v>
      </c>
      <c r="K59" s="55">
        <v>0.66</v>
      </c>
      <c r="L59" s="55">
        <v>0.66</v>
      </c>
    </row>
    <row r="60" spans="1:12">
      <c r="A60" s="55">
        <v>53</v>
      </c>
      <c r="B60" s="55" t="s">
        <v>594</v>
      </c>
      <c r="C60" s="55">
        <v>101</v>
      </c>
      <c r="D60" s="55">
        <v>23</v>
      </c>
      <c r="E60" s="55">
        <v>101</v>
      </c>
      <c r="F60" s="55">
        <v>23</v>
      </c>
      <c r="G60" s="55">
        <v>339.13</v>
      </c>
      <c r="H60" s="55">
        <v>339.13</v>
      </c>
      <c r="I60" s="55">
        <v>0.59</v>
      </c>
      <c r="J60" s="55">
        <v>0.59</v>
      </c>
      <c r="K60" s="55">
        <v>0.16</v>
      </c>
      <c r="L60" s="55">
        <v>0.16</v>
      </c>
    </row>
    <row r="61" spans="1:12">
      <c r="A61" s="55">
        <v>54</v>
      </c>
      <c r="B61" s="55" t="s">
        <v>576</v>
      </c>
      <c r="C61" s="55">
        <v>95</v>
      </c>
      <c r="D61" s="55">
        <v>425</v>
      </c>
      <c r="E61" s="55">
        <v>95</v>
      </c>
      <c r="F61" s="55">
        <v>425</v>
      </c>
      <c r="G61" s="55">
        <v>-77.650000000000006</v>
      </c>
      <c r="H61" s="55">
        <v>-77.650000000000006</v>
      </c>
      <c r="I61" s="55">
        <v>0.55000000000000004</v>
      </c>
      <c r="J61" s="55">
        <v>0.55000000000000004</v>
      </c>
      <c r="K61" s="55">
        <v>2.91</v>
      </c>
      <c r="L61" s="55">
        <v>2.91</v>
      </c>
    </row>
    <row r="62" spans="1:12">
      <c r="A62" s="55">
        <v>55</v>
      </c>
      <c r="B62" s="55" t="s">
        <v>131</v>
      </c>
      <c r="C62" s="55">
        <v>92</v>
      </c>
      <c r="D62" s="55">
        <v>35</v>
      </c>
      <c r="E62" s="55">
        <v>92</v>
      </c>
      <c r="F62" s="55">
        <v>35</v>
      </c>
      <c r="G62" s="55">
        <v>162.86000000000001</v>
      </c>
      <c r="H62" s="55">
        <v>162.86000000000001</v>
      </c>
      <c r="I62" s="55">
        <v>0.54</v>
      </c>
      <c r="J62" s="55">
        <v>0.54</v>
      </c>
      <c r="K62" s="55">
        <v>0.24</v>
      </c>
      <c r="L62" s="55">
        <v>0.24</v>
      </c>
    </row>
    <row r="63" spans="1:12">
      <c r="A63" s="55">
        <v>56</v>
      </c>
      <c r="B63" s="55" t="s">
        <v>117</v>
      </c>
      <c r="C63" s="55">
        <v>91</v>
      </c>
      <c r="D63" s="55">
        <v>175</v>
      </c>
      <c r="E63" s="55">
        <v>91</v>
      </c>
      <c r="F63" s="55">
        <v>175</v>
      </c>
      <c r="G63" s="55">
        <v>-48</v>
      </c>
      <c r="H63" s="55">
        <v>-48</v>
      </c>
      <c r="I63" s="55">
        <v>0.53</v>
      </c>
      <c r="J63" s="55">
        <v>0.53</v>
      </c>
      <c r="K63" s="55">
        <v>1.2</v>
      </c>
      <c r="L63" s="55">
        <v>1.2</v>
      </c>
    </row>
    <row r="64" spans="1:12">
      <c r="A64" s="55">
        <v>57</v>
      </c>
      <c r="B64" s="55" t="s">
        <v>44</v>
      </c>
      <c r="C64" s="55">
        <v>89</v>
      </c>
      <c r="D64" s="55">
        <v>74</v>
      </c>
      <c r="E64" s="55">
        <v>89</v>
      </c>
      <c r="F64" s="55">
        <v>74</v>
      </c>
      <c r="G64" s="55">
        <v>20.27</v>
      </c>
      <c r="H64" s="55">
        <v>20.27</v>
      </c>
      <c r="I64" s="55">
        <v>0.52</v>
      </c>
      <c r="J64" s="55">
        <v>0.52</v>
      </c>
      <c r="K64" s="55">
        <v>0.51</v>
      </c>
      <c r="L64" s="55">
        <v>0.51</v>
      </c>
    </row>
    <row r="65" spans="1:12">
      <c r="A65" s="55">
        <v>58</v>
      </c>
      <c r="B65" s="55" t="s">
        <v>557</v>
      </c>
      <c r="C65" s="55">
        <v>89</v>
      </c>
      <c r="D65" s="55">
        <v>28</v>
      </c>
      <c r="E65" s="55">
        <v>89</v>
      </c>
      <c r="F65" s="55">
        <v>28</v>
      </c>
      <c r="G65" s="55">
        <v>217.86</v>
      </c>
      <c r="H65" s="55">
        <v>217.86</v>
      </c>
      <c r="I65" s="55">
        <v>0.52</v>
      </c>
      <c r="J65" s="55">
        <v>0.52</v>
      </c>
      <c r="K65" s="55">
        <v>0.19</v>
      </c>
      <c r="L65" s="55">
        <v>0.19</v>
      </c>
    </row>
    <row r="66" spans="1:12">
      <c r="A66" s="55">
        <v>59</v>
      </c>
      <c r="B66" s="55" t="s">
        <v>51</v>
      </c>
      <c r="C66" s="55">
        <v>88</v>
      </c>
      <c r="D66" s="55">
        <v>129</v>
      </c>
      <c r="E66" s="55">
        <v>88</v>
      </c>
      <c r="F66" s="55">
        <v>129</v>
      </c>
      <c r="G66" s="55">
        <v>-31.78</v>
      </c>
      <c r="H66" s="55">
        <v>-31.78</v>
      </c>
      <c r="I66" s="55">
        <v>0.51</v>
      </c>
      <c r="J66" s="55">
        <v>0.51</v>
      </c>
      <c r="K66" s="55">
        <v>0.88</v>
      </c>
      <c r="L66" s="55">
        <v>0.88</v>
      </c>
    </row>
    <row r="67" spans="1:12">
      <c r="A67" s="55">
        <v>60</v>
      </c>
      <c r="B67" s="55" t="s">
        <v>903</v>
      </c>
      <c r="C67" s="55">
        <v>84</v>
      </c>
      <c r="D67" s="55">
        <v>85</v>
      </c>
      <c r="E67" s="55">
        <v>84</v>
      </c>
      <c r="F67" s="55">
        <v>85</v>
      </c>
      <c r="G67" s="55">
        <v>-1.18</v>
      </c>
      <c r="H67" s="55">
        <v>-1.18</v>
      </c>
      <c r="I67" s="55">
        <v>0.49</v>
      </c>
      <c r="J67" s="55">
        <v>0.49</v>
      </c>
      <c r="K67" s="55">
        <v>0.57999999999999996</v>
      </c>
      <c r="L67" s="55">
        <v>0.57999999999999996</v>
      </c>
    </row>
    <row r="68" spans="1:12">
      <c r="A68" s="55">
        <v>61</v>
      </c>
      <c r="B68" s="55" t="s">
        <v>57</v>
      </c>
      <c r="C68" s="55">
        <v>81</v>
      </c>
      <c r="D68" s="55">
        <v>88</v>
      </c>
      <c r="E68" s="55">
        <v>81</v>
      </c>
      <c r="F68" s="55">
        <v>88</v>
      </c>
      <c r="G68" s="55">
        <v>-7.95</v>
      </c>
      <c r="H68" s="55">
        <v>-7.95</v>
      </c>
      <c r="I68" s="55">
        <v>0.47</v>
      </c>
      <c r="J68" s="55">
        <v>0.47</v>
      </c>
      <c r="K68" s="55">
        <v>0.6</v>
      </c>
      <c r="L68" s="55">
        <v>0.6</v>
      </c>
    </row>
    <row r="69" spans="1:12">
      <c r="A69" s="55">
        <v>62</v>
      </c>
      <c r="B69" s="55" t="s">
        <v>150</v>
      </c>
      <c r="C69" s="55">
        <v>75</v>
      </c>
      <c r="D69" s="55">
        <v>12</v>
      </c>
      <c r="E69" s="55">
        <v>75</v>
      </c>
      <c r="F69" s="55">
        <v>12</v>
      </c>
      <c r="G69" s="55">
        <v>525</v>
      </c>
      <c r="H69" s="55">
        <v>525</v>
      </c>
      <c r="I69" s="55">
        <v>0.44</v>
      </c>
      <c r="J69" s="55">
        <v>0.44</v>
      </c>
      <c r="K69" s="55">
        <v>0.08</v>
      </c>
      <c r="L69" s="55">
        <v>0.08</v>
      </c>
    </row>
    <row r="70" spans="1:12">
      <c r="A70" s="55">
        <v>63</v>
      </c>
      <c r="B70" s="55" t="s">
        <v>59</v>
      </c>
      <c r="C70" s="55">
        <v>74</v>
      </c>
      <c r="D70" s="55">
        <v>105</v>
      </c>
      <c r="E70" s="55">
        <v>74</v>
      </c>
      <c r="F70" s="55">
        <v>105</v>
      </c>
      <c r="G70" s="55">
        <v>-29.52</v>
      </c>
      <c r="H70" s="55">
        <v>-29.52</v>
      </c>
      <c r="I70" s="55">
        <v>0.43</v>
      </c>
      <c r="J70" s="55">
        <v>0.43</v>
      </c>
      <c r="K70" s="55">
        <v>0.72</v>
      </c>
      <c r="L70" s="55">
        <v>0.72</v>
      </c>
    </row>
    <row r="71" spans="1:12">
      <c r="A71" s="55">
        <v>64</v>
      </c>
      <c r="B71" s="55" t="s">
        <v>60</v>
      </c>
      <c r="C71" s="55">
        <v>73</v>
      </c>
      <c r="D71" s="55">
        <v>105</v>
      </c>
      <c r="E71" s="55">
        <v>73</v>
      </c>
      <c r="F71" s="55">
        <v>105</v>
      </c>
      <c r="G71" s="55">
        <v>-30.48</v>
      </c>
      <c r="H71" s="55">
        <v>-30.48</v>
      </c>
      <c r="I71" s="55">
        <v>0.43</v>
      </c>
      <c r="J71" s="55">
        <v>0.43</v>
      </c>
      <c r="K71" s="55">
        <v>0.72</v>
      </c>
      <c r="L71" s="55">
        <v>0.72</v>
      </c>
    </row>
    <row r="72" spans="1:12">
      <c r="A72" s="55">
        <v>65</v>
      </c>
      <c r="B72" s="55" t="s">
        <v>136</v>
      </c>
      <c r="C72" s="55">
        <v>71</v>
      </c>
      <c r="D72" s="55">
        <v>34</v>
      </c>
      <c r="E72" s="55">
        <v>71</v>
      </c>
      <c r="F72" s="55">
        <v>34</v>
      </c>
      <c r="G72" s="55">
        <v>108.82</v>
      </c>
      <c r="H72" s="55">
        <v>108.82</v>
      </c>
      <c r="I72" s="55">
        <v>0.41</v>
      </c>
      <c r="J72" s="55">
        <v>0.41</v>
      </c>
      <c r="K72" s="55">
        <v>0.23</v>
      </c>
      <c r="L72" s="55">
        <v>0.23</v>
      </c>
    </row>
    <row r="73" spans="1:12">
      <c r="A73" s="55">
        <v>66</v>
      </c>
      <c r="B73" s="55" t="s">
        <v>82</v>
      </c>
      <c r="C73" s="55">
        <v>68</v>
      </c>
      <c r="D73" s="55">
        <v>167</v>
      </c>
      <c r="E73" s="55">
        <v>68</v>
      </c>
      <c r="F73" s="55">
        <v>167</v>
      </c>
      <c r="G73" s="55">
        <v>-59.28</v>
      </c>
      <c r="H73" s="55">
        <v>-59.28</v>
      </c>
      <c r="I73" s="55">
        <v>0.4</v>
      </c>
      <c r="J73" s="55">
        <v>0.4</v>
      </c>
      <c r="K73" s="55">
        <v>1.1399999999999999</v>
      </c>
      <c r="L73" s="55">
        <v>1.1399999999999999</v>
      </c>
    </row>
    <row r="74" spans="1:12">
      <c r="A74" s="55">
        <v>67</v>
      </c>
      <c r="B74" s="55" t="s">
        <v>129</v>
      </c>
      <c r="C74" s="55">
        <v>68</v>
      </c>
      <c r="D74" s="55">
        <v>24</v>
      </c>
      <c r="E74" s="55">
        <v>68</v>
      </c>
      <c r="F74" s="55">
        <v>24</v>
      </c>
      <c r="G74" s="55">
        <v>183.33</v>
      </c>
      <c r="H74" s="55">
        <v>183.33</v>
      </c>
      <c r="I74" s="55">
        <v>0.4</v>
      </c>
      <c r="J74" s="55">
        <v>0.4</v>
      </c>
      <c r="K74" s="55">
        <v>0.16</v>
      </c>
      <c r="L74" s="55">
        <v>0.16</v>
      </c>
    </row>
    <row r="75" spans="1:12">
      <c r="A75" s="55">
        <v>68</v>
      </c>
      <c r="B75" s="55" t="s">
        <v>65</v>
      </c>
      <c r="C75" s="55">
        <v>64</v>
      </c>
      <c r="D75" s="55">
        <v>41</v>
      </c>
      <c r="E75" s="55">
        <v>64</v>
      </c>
      <c r="F75" s="55">
        <v>41</v>
      </c>
      <c r="G75" s="55">
        <v>56.1</v>
      </c>
      <c r="H75" s="55">
        <v>56.1</v>
      </c>
      <c r="I75" s="55">
        <v>0.37</v>
      </c>
      <c r="J75" s="55">
        <v>0.37</v>
      </c>
      <c r="K75" s="55">
        <v>0.28000000000000003</v>
      </c>
      <c r="L75" s="55">
        <v>0.28000000000000003</v>
      </c>
    </row>
    <row r="76" spans="1:12">
      <c r="A76" s="55">
        <v>69</v>
      </c>
      <c r="B76" s="55" t="s">
        <v>81</v>
      </c>
      <c r="C76" s="55">
        <v>60</v>
      </c>
      <c r="D76" s="55">
        <v>70</v>
      </c>
      <c r="E76" s="55">
        <v>60</v>
      </c>
      <c r="F76" s="55">
        <v>70</v>
      </c>
      <c r="G76" s="55">
        <v>-14.29</v>
      </c>
      <c r="H76" s="55">
        <v>-14.29</v>
      </c>
      <c r="I76" s="55">
        <v>0.35</v>
      </c>
      <c r="J76" s="55">
        <v>0.35</v>
      </c>
      <c r="K76" s="55">
        <v>0.48</v>
      </c>
      <c r="L76" s="55">
        <v>0.48</v>
      </c>
    </row>
    <row r="77" spans="1:12">
      <c r="A77" s="55">
        <v>70</v>
      </c>
      <c r="B77" s="55" t="s">
        <v>80</v>
      </c>
      <c r="C77" s="55">
        <v>60</v>
      </c>
      <c r="D77" s="55">
        <v>66</v>
      </c>
      <c r="E77" s="55">
        <v>60</v>
      </c>
      <c r="F77" s="55">
        <v>66</v>
      </c>
      <c r="G77" s="55">
        <v>-9.09</v>
      </c>
      <c r="H77" s="55">
        <v>-9.09</v>
      </c>
      <c r="I77" s="55">
        <v>0.35</v>
      </c>
      <c r="J77" s="55">
        <v>0.35</v>
      </c>
      <c r="K77" s="55">
        <v>0.45</v>
      </c>
      <c r="L77" s="55">
        <v>0.45</v>
      </c>
    </row>
    <row r="78" spans="1:12">
      <c r="A78" s="55">
        <v>71</v>
      </c>
      <c r="B78" s="55" t="s">
        <v>83</v>
      </c>
      <c r="C78" s="55">
        <v>59</v>
      </c>
      <c r="D78" s="55">
        <v>53</v>
      </c>
      <c r="E78" s="55">
        <v>59</v>
      </c>
      <c r="F78" s="55">
        <v>53</v>
      </c>
      <c r="G78" s="55">
        <v>11.32</v>
      </c>
      <c r="H78" s="55">
        <v>11.32</v>
      </c>
      <c r="I78" s="55">
        <v>0.34</v>
      </c>
      <c r="J78" s="55">
        <v>0.34</v>
      </c>
      <c r="K78" s="55">
        <v>0.36</v>
      </c>
      <c r="L78" s="55">
        <v>0.36</v>
      </c>
    </row>
    <row r="79" spans="1:12">
      <c r="A79" s="55">
        <v>72</v>
      </c>
      <c r="B79" s="55" t="s">
        <v>76</v>
      </c>
      <c r="C79" s="55">
        <v>58</v>
      </c>
      <c r="D79" s="55">
        <v>53</v>
      </c>
      <c r="E79" s="55">
        <v>58</v>
      </c>
      <c r="F79" s="55">
        <v>53</v>
      </c>
      <c r="G79" s="55">
        <v>9.43</v>
      </c>
      <c r="H79" s="55">
        <v>9.43</v>
      </c>
      <c r="I79" s="55">
        <v>0.34</v>
      </c>
      <c r="J79" s="55">
        <v>0.34</v>
      </c>
      <c r="K79" s="55">
        <v>0.36</v>
      </c>
      <c r="L79" s="55">
        <v>0.36</v>
      </c>
    </row>
    <row r="80" spans="1:12">
      <c r="A80" s="55">
        <v>73</v>
      </c>
      <c r="B80" s="55" t="s">
        <v>145</v>
      </c>
      <c r="C80" s="55">
        <v>56</v>
      </c>
      <c r="D80" s="55">
        <v>23</v>
      </c>
      <c r="E80" s="55">
        <v>56</v>
      </c>
      <c r="F80" s="55">
        <v>23</v>
      </c>
      <c r="G80" s="55">
        <v>143.47999999999999</v>
      </c>
      <c r="H80" s="55">
        <v>143.47999999999999</v>
      </c>
      <c r="I80" s="55">
        <v>0.33</v>
      </c>
      <c r="J80" s="55">
        <v>0.33</v>
      </c>
      <c r="K80" s="55">
        <v>0.16</v>
      </c>
      <c r="L80" s="55">
        <v>0.16</v>
      </c>
    </row>
    <row r="81" spans="1:12">
      <c r="A81" s="55">
        <v>74</v>
      </c>
      <c r="B81" s="55" t="s">
        <v>66</v>
      </c>
      <c r="C81" s="55">
        <v>56</v>
      </c>
      <c r="D81" s="55">
        <v>19</v>
      </c>
      <c r="E81" s="55">
        <v>56</v>
      </c>
      <c r="F81" s="55">
        <v>19</v>
      </c>
      <c r="G81" s="55">
        <v>194.74</v>
      </c>
      <c r="H81" s="55">
        <v>194.74</v>
      </c>
      <c r="I81" s="55">
        <v>0.33</v>
      </c>
      <c r="J81" s="55">
        <v>0.33</v>
      </c>
      <c r="K81" s="55">
        <v>0.13</v>
      </c>
      <c r="L81" s="55">
        <v>0.13</v>
      </c>
    </row>
    <row r="82" spans="1:12">
      <c r="A82" s="55">
        <v>75</v>
      </c>
      <c r="B82" s="55" t="s">
        <v>551</v>
      </c>
      <c r="C82" s="55">
        <v>55</v>
      </c>
      <c r="D82" s="55">
        <v>17</v>
      </c>
      <c r="E82" s="55">
        <v>55</v>
      </c>
      <c r="F82" s="55">
        <v>17</v>
      </c>
      <c r="G82" s="55">
        <v>223.53</v>
      </c>
      <c r="H82" s="55">
        <v>223.53</v>
      </c>
      <c r="I82" s="55">
        <v>0.32</v>
      </c>
      <c r="J82" s="55">
        <v>0.32</v>
      </c>
      <c r="K82" s="55">
        <v>0.12</v>
      </c>
      <c r="L82" s="55">
        <v>0.12</v>
      </c>
    </row>
    <row r="83" spans="1:12">
      <c r="A83" s="55">
        <v>76</v>
      </c>
      <c r="B83" s="55" t="s">
        <v>1011</v>
      </c>
      <c r="C83" s="55">
        <v>55</v>
      </c>
      <c r="D83" s="55">
        <v>0</v>
      </c>
      <c r="E83" s="55">
        <v>55</v>
      </c>
      <c r="F83" s="55">
        <v>0</v>
      </c>
      <c r="G83" s="55">
        <v>0</v>
      </c>
      <c r="H83" s="55">
        <v>0</v>
      </c>
      <c r="I83" s="55">
        <v>0.32</v>
      </c>
      <c r="J83" s="55">
        <v>0.32</v>
      </c>
      <c r="K83" s="55">
        <v>0</v>
      </c>
      <c r="L83" s="55">
        <v>0</v>
      </c>
    </row>
    <row r="84" spans="1:12">
      <c r="A84" s="55">
        <v>77</v>
      </c>
      <c r="B84" s="55" t="s">
        <v>585</v>
      </c>
      <c r="C84" s="55">
        <v>54</v>
      </c>
      <c r="D84" s="55">
        <v>21</v>
      </c>
      <c r="E84" s="55">
        <v>54</v>
      </c>
      <c r="F84" s="55">
        <v>21</v>
      </c>
      <c r="G84" s="55">
        <v>157.13999999999999</v>
      </c>
      <c r="H84" s="55">
        <v>157.13999999999999</v>
      </c>
      <c r="I84" s="55">
        <v>0.31</v>
      </c>
      <c r="J84" s="55">
        <v>0.31</v>
      </c>
      <c r="K84" s="55">
        <v>0.14000000000000001</v>
      </c>
      <c r="L84" s="55">
        <v>0.14000000000000001</v>
      </c>
    </row>
    <row r="85" spans="1:12">
      <c r="A85" s="55">
        <v>78</v>
      </c>
      <c r="B85" s="55" t="s">
        <v>88</v>
      </c>
      <c r="C85" s="55">
        <v>52</v>
      </c>
      <c r="D85" s="55">
        <v>26</v>
      </c>
      <c r="E85" s="55">
        <v>52</v>
      </c>
      <c r="F85" s="55">
        <v>26</v>
      </c>
      <c r="G85" s="55">
        <v>100</v>
      </c>
      <c r="H85" s="55">
        <v>100</v>
      </c>
      <c r="I85" s="55">
        <v>0.3</v>
      </c>
      <c r="J85" s="55">
        <v>0.3</v>
      </c>
      <c r="K85" s="55">
        <v>0.18</v>
      </c>
      <c r="L85" s="55">
        <v>0.18</v>
      </c>
    </row>
    <row r="86" spans="1:12">
      <c r="A86" s="55">
        <v>79</v>
      </c>
      <c r="B86" s="55" t="s">
        <v>134</v>
      </c>
      <c r="C86" s="55">
        <v>52</v>
      </c>
      <c r="D86" s="55">
        <v>7</v>
      </c>
      <c r="E86" s="55">
        <v>52</v>
      </c>
      <c r="F86" s="55">
        <v>7</v>
      </c>
      <c r="G86" s="55">
        <v>642.86</v>
      </c>
      <c r="H86" s="55">
        <v>642.86</v>
      </c>
      <c r="I86" s="55">
        <v>0.3</v>
      </c>
      <c r="J86" s="55">
        <v>0.3</v>
      </c>
      <c r="K86" s="55">
        <v>0.05</v>
      </c>
      <c r="L86" s="55">
        <v>0.05</v>
      </c>
    </row>
    <row r="87" spans="1:12">
      <c r="A87" s="55">
        <v>80</v>
      </c>
      <c r="B87" s="55" t="s">
        <v>90</v>
      </c>
      <c r="C87" s="55">
        <v>50</v>
      </c>
      <c r="D87" s="55">
        <v>128</v>
      </c>
      <c r="E87" s="55">
        <v>50</v>
      </c>
      <c r="F87" s="55">
        <v>128</v>
      </c>
      <c r="G87" s="55">
        <v>-60.94</v>
      </c>
      <c r="H87" s="55">
        <v>-60.94</v>
      </c>
      <c r="I87" s="55">
        <v>0.28999999999999998</v>
      </c>
      <c r="J87" s="55">
        <v>0.28999999999999998</v>
      </c>
      <c r="K87" s="55">
        <v>0.88</v>
      </c>
      <c r="L87" s="55">
        <v>0.88</v>
      </c>
    </row>
    <row r="88" spans="1:12">
      <c r="A88" s="55">
        <v>81</v>
      </c>
      <c r="B88" s="55" t="s">
        <v>63</v>
      </c>
      <c r="C88" s="55">
        <v>49</v>
      </c>
      <c r="D88" s="55">
        <v>146</v>
      </c>
      <c r="E88" s="55">
        <v>49</v>
      </c>
      <c r="F88" s="55">
        <v>146</v>
      </c>
      <c r="G88" s="55">
        <v>-66.44</v>
      </c>
      <c r="H88" s="55">
        <v>-66.44</v>
      </c>
      <c r="I88" s="55">
        <v>0.28999999999999998</v>
      </c>
      <c r="J88" s="55">
        <v>0.28999999999999998</v>
      </c>
      <c r="K88" s="55">
        <v>1</v>
      </c>
      <c r="L88" s="55">
        <v>1</v>
      </c>
    </row>
    <row r="89" spans="1:12">
      <c r="A89" s="55">
        <v>82</v>
      </c>
      <c r="B89" s="55" t="s">
        <v>115</v>
      </c>
      <c r="C89" s="55">
        <v>48</v>
      </c>
      <c r="D89" s="55">
        <v>89</v>
      </c>
      <c r="E89" s="55">
        <v>48</v>
      </c>
      <c r="F89" s="55">
        <v>89</v>
      </c>
      <c r="G89" s="55">
        <v>-46.07</v>
      </c>
      <c r="H89" s="55">
        <v>-46.07</v>
      </c>
      <c r="I89" s="55">
        <v>0.28000000000000003</v>
      </c>
      <c r="J89" s="55">
        <v>0.28000000000000003</v>
      </c>
      <c r="K89" s="55">
        <v>0.61</v>
      </c>
      <c r="L89" s="55">
        <v>0.61</v>
      </c>
    </row>
    <row r="90" spans="1:12">
      <c r="A90" s="55">
        <v>83</v>
      </c>
      <c r="B90" s="55" t="s">
        <v>450</v>
      </c>
      <c r="C90" s="55">
        <v>48</v>
      </c>
      <c r="D90" s="55">
        <v>12</v>
      </c>
      <c r="E90" s="55">
        <v>48</v>
      </c>
      <c r="F90" s="55">
        <v>12</v>
      </c>
      <c r="G90" s="55">
        <v>300</v>
      </c>
      <c r="H90" s="55">
        <v>300</v>
      </c>
      <c r="I90" s="55">
        <v>0.28000000000000003</v>
      </c>
      <c r="J90" s="55">
        <v>0.28000000000000003</v>
      </c>
      <c r="K90" s="55">
        <v>0.08</v>
      </c>
      <c r="L90" s="55">
        <v>0.08</v>
      </c>
    </row>
    <row r="91" spans="1:12">
      <c r="A91" s="55">
        <v>84</v>
      </c>
      <c r="B91" s="55" t="s">
        <v>1034</v>
      </c>
      <c r="C91" s="55">
        <v>47</v>
      </c>
      <c r="D91" s="55">
        <v>0</v>
      </c>
      <c r="E91" s="55">
        <v>47</v>
      </c>
      <c r="F91" s="55">
        <v>0</v>
      </c>
      <c r="G91" s="55">
        <v>0</v>
      </c>
      <c r="H91" s="55">
        <v>0</v>
      </c>
      <c r="I91" s="55">
        <v>0.27</v>
      </c>
      <c r="J91" s="55">
        <v>0.27</v>
      </c>
      <c r="K91" s="55">
        <v>0</v>
      </c>
      <c r="L91" s="55">
        <v>0</v>
      </c>
    </row>
    <row r="92" spans="1:12">
      <c r="A92" s="55">
        <v>85</v>
      </c>
      <c r="B92" s="55" t="s">
        <v>528</v>
      </c>
      <c r="C92" s="55">
        <v>45</v>
      </c>
      <c r="D92" s="55">
        <v>126</v>
      </c>
      <c r="E92" s="55">
        <v>45</v>
      </c>
      <c r="F92" s="55">
        <v>126</v>
      </c>
      <c r="G92" s="55">
        <v>-64.290000000000006</v>
      </c>
      <c r="H92" s="55">
        <v>-64.290000000000006</v>
      </c>
      <c r="I92" s="55">
        <v>0.26</v>
      </c>
      <c r="J92" s="55">
        <v>0.26</v>
      </c>
      <c r="K92" s="55">
        <v>0.86</v>
      </c>
      <c r="L92" s="55">
        <v>0.86</v>
      </c>
    </row>
    <row r="93" spans="1:12">
      <c r="A93" s="55">
        <v>86</v>
      </c>
      <c r="B93" s="55" t="s">
        <v>77</v>
      </c>
      <c r="C93" s="55">
        <v>45</v>
      </c>
      <c r="D93" s="55">
        <v>42</v>
      </c>
      <c r="E93" s="55">
        <v>45</v>
      </c>
      <c r="F93" s="55">
        <v>42</v>
      </c>
      <c r="G93" s="55">
        <v>7.14</v>
      </c>
      <c r="H93" s="55">
        <v>7.14</v>
      </c>
      <c r="I93" s="55">
        <v>0.26</v>
      </c>
      <c r="J93" s="55">
        <v>0.26</v>
      </c>
      <c r="K93" s="55">
        <v>0.28999999999999998</v>
      </c>
      <c r="L93" s="55">
        <v>0.28999999999999998</v>
      </c>
    </row>
    <row r="94" spans="1:12">
      <c r="A94" s="55">
        <v>87</v>
      </c>
      <c r="B94" s="55" t="s">
        <v>123</v>
      </c>
      <c r="C94" s="55">
        <v>43</v>
      </c>
      <c r="D94" s="55">
        <v>18</v>
      </c>
      <c r="E94" s="55">
        <v>43</v>
      </c>
      <c r="F94" s="55">
        <v>18</v>
      </c>
      <c r="G94" s="55">
        <v>138.88999999999999</v>
      </c>
      <c r="H94" s="55">
        <v>138.88999999999999</v>
      </c>
      <c r="I94" s="55">
        <v>0.25</v>
      </c>
      <c r="J94" s="55">
        <v>0.25</v>
      </c>
      <c r="K94" s="55">
        <v>0.12</v>
      </c>
      <c r="L94" s="55">
        <v>0.12</v>
      </c>
    </row>
    <row r="95" spans="1:12">
      <c r="A95" s="55">
        <v>88</v>
      </c>
      <c r="B95" s="55" t="s">
        <v>978</v>
      </c>
      <c r="C95" s="55">
        <v>43</v>
      </c>
      <c r="D95" s="55">
        <v>1</v>
      </c>
      <c r="E95" s="55">
        <v>43</v>
      </c>
      <c r="F95" s="55">
        <v>1</v>
      </c>
      <c r="G95" s="55">
        <v>4200</v>
      </c>
      <c r="H95" s="55">
        <v>4200</v>
      </c>
      <c r="I95" s="55">
        <v>0.25</v>
      </c>
      <c r="J95" s="55">
        <v>0.25</v>
      </c>
      <c r="K95" s="55">
        <v>0.01</v>
      </c>
      <c r="L95" s="55">
        <v>0.01</v>
      </c>
    </row>
    <row r="96" spans="1:12">
      <c r="A96" s="55">
        <v>89</v>
      </c>
      <c r="B96" s="55" t="s">
        <v>171</v>
      </c>
      <c r="C96" s="55">
        <v>41</v>
      </c>
      <c r="D96" s="55">
        <v>2</v>
      </c>
      <c r="E96" s="55">
        <v>41</v>
      </c>
      <c r="F96" s="55">
        <v>2</v>
      </c>
      <c r="G96" s="55">
        <v>1950</v>
      </c>
      <c r="H96" s="55">
        <v>1950</v>
      </c>
      <c r="I96" s="55">
        <v>0.24</v>
      </c>
      <c r="J96" s="55">
        <v>0.24</v>
      </c>
      <c r="K96" s="55">
        <v>0.01</v>
      </c>
      <c r="L96" s="55">
        <v>0.01</v>
      </c>
    </row>
    <row r="97" spans="1:12">
      <c r="A97" s="55">
        <v>90</v>
      </c>
      <c r="B97" s="55" t="s">
        <v>1013</v>
      </c>
      <c r="C97" s="55">
        <v>41</v>
      </c>
      <c r="D97" s="55">
        <v>0</v>
      </c>
      <c r="E97" s="55">
        <v>41</v>
      </c>
      <c r="F97" s="55">
        <v>0</v>
      </c>
      <c r="G97" s="55">
        <v>0</v>
      </c>
      <c r="H97" s="55">
        <v>0</v>
      </c>
      <c r="I97" s="55">
        <v>0.24</v>
      </c>
      <c r="J97" s="55">
        <v>0.24</v>
      </c>
      <c r="K97" s="55">
        <v>0</v>
      </c>
      <c r="L97" s="55">
        <v>0</v>
      </c>
    </row>
    <row r="98" spans="1:12">
      <c r="A98" s="55">
        <v>91</v>
      </c>
      <c r="B98" s="55" t="s">
        <v>58</v>
      </c>
      <c r="C98" s="55">
        <v>40</v>
      </c>
      <c r="D98" s="55">
        <v>33</v>
      </c>
      <c r="E98" s="55">
        <v>40</v>
      </c>
      <c r="F98" s="55">
        <v>33</v>
      </c>
      <c r="G98" s="55">
        <v>21.21</v>
      </c>
      <c r="H98" s="55">
        <v>21.21</v>
      </c>
      <c r="I98" s="55">
        <v>0.23</v>
      </c>
      <c r="J98" s="55">
        <v>0.23</v>
      </c>
      <c r="K98" s="55">
        <v>0.23</v>
      </c>
      <c r="L98" s="55">
        <v>0.23</v>
      </c>
    </row>
    <row r="99" spans="1:12">
      <c r="A99" s="55">
        <v>92</v>
      </c>
      <c r="B99" s="55" t="s">
        <v>111</v>
      </c>
      <c r="C99" s="55">
        <v>40</v>
      </c>
      <c r="D99" s="55">
        <v>28</v>
      </c>
      <c r="E99" s="55">
        <v>40</v>
      </c>
      <c r="F99" s="55">
        <v>28</v>
      </c>
      <c r="G99" s="55">
        <v>42.86</v>
      </c>
      <c r="H99" s="55">
        <v>42.86</v>
      </c>
      <c r="I99" s="55">
        <v>0.23</v>
      </c>
      <c r="J99" s="55">
        <v>0.23</v>
      </c>
      <c r="K99" s="55">
        <v>0.19</v>
      </c>
      <c r="L99" s="55">
        <v>0.19</v>
      </c>
    </row>
    <row r="100" spans="1:12">
      <c r="A100" s="55">
        <v>93</v>
      </c>
      <c r="B100" s="55" t="s">
        <v>157</v>
      </c>
      <c r="C100" s="55">
        <v>40</v>
      </c>
      <c r="D100" s="55">
        <v>27</v>
      </c>
      <c r="E100" s="55">
        <v>40</v>
      </c>
      <c r="F100" s="55">
        <v>27</v>
      </c>
      <c r="G100" s="55">
        <v>48.15</v>
      </c>
      <c r="H100" s="55">
        <v>48.15</v>
      </c>
      <c r="I100" s="55">
        <v>0.23</v>
      </c>
      <c r="J100" s="55">
        <v>0.23</v>
      </c>
      <c r="K100" s="55">
        <v>0.18</v>
      </c>
      <c r="L100" s="55">
        <v>0.18</v>
      </c>
    </row>
    <row r="101" spans="1:12">
      <c r="A101" s="55">
        <v>94</v>
      </c>
      <c r="B101" s="55" t="s">
        <v>187</v>
      </c>
      <c r="C101" s="55">
        <v>40</v>
      </c>
      <c r="D101" s="55">
        <v>0</v>
      </c>
      <c r="E101" s="55">
        <v>40</v>
      </c>
      <c r="F101" s="55">
        <v>0</v>
      </c>
      <c r="G101" s="55">
        <v>0</v>
      </c>
      <c r="H101" s="55">
        <v>0</v>
      </c>
      <c r="I101" s="55">
        <v>0.23</v>
      </c>
      <c r="J101" s="55">
        <v>0.23</v>
      </c>
      <c r="K101" s="55">
        <v>0</v>
      </c>
      <c r="L101" s="55">
        <v>0</v>
      </c>
    </row>
    <row r="102" spans="1:12">
      <c r="A102" s="55">
        <v>95</v>
      </c>
      <c r="B102" s="55" t="s">
        <v>110</v>
      </c>
      <c r="C102" s="55">
        <v>39</v>
      </c>
      <c r="D102" s="55">
        <v>85</v>
      </c>
      <c r="E102" s="55">
        <v>39</v>
      </c>
      <c r="F102" s="55">
        <v>85</v>
      </c>
      <c r="G102" s="55">
        <v>-54.12</v>
      </c>
      <c r="H102" s="55">
        <v>-54.12</v>
      </c>
      <c r="I102" s="55">
        <v>0.23</v>
      </c>
      <c r="J102" s="55">
        <v>0.23</v>
      </c>
      <c r="K102" s="55">
        <v>0.57999999999999996</v>
      </c>
      <c r="L102" s="55">
        <v>0.57999999999999996</v>
      </c>
    </row>
    <row r="103" spans="1:12">
      <c r="A103" s="55">
        <v>96</v>
      </c>
      <c r="B103" s="55" t="s">
        <v>1033</v>
      </c>
      <c r="C103" s="55">
        <v>39</v>
      </c>
      <c r="D103" s="55">
        <v>34</v>
      </c>
      <c r="E103" s="55">
        <v>39</v>
      </c>
      <c r="F103" s="55">
        <v>34</v>
      </c>
      <c r="G103" s="55">
        <v>14.71</v>
      </c>
      <c r="H103" s="55">
        <v>14.71</v>
      </c>
      <c r="I103" s="55">
        <v>0.23</v>
      </c>
      <c r="J103" s="55">
        <v>0.23</v>
      </c>
      <c r="K103" s="55">
        <v>0.23</v>
      </c>
      <c r="L103" s="55">
        <v>0.23</v>
      </c>
    </row>
    <row r="104" spans="1:12">
      <c r="A104" s="55">
        <v>97</v>
      </c>
      <c r="B104" s="55" t="s">
        <v>154</v>
      </c>
      <c r="C104" s="55">
        <v>39</v>
      </c>
      <c r="D104" s="55">
        <v>22</v>
      </c>
      <c r="E104" s="55">
        <v>39</v>
      </c>
      <c r="F104" s="55">
        <v>22</v>
      </c>
      <c r="G104" s="55">
        <v>77.27</v>
      </c>
      <c r="H104" s="55">
        <v>77.27</v>
      </c>
      <c r="I104" s="55">
        <v>0.23</v>
      </c>
      <c r="J104" s="55">
        <v>0.23</v>
      </c>
      <c r="K104" s="55">
        <v>0.15</v>
      </c>
      <c r="L104" s="55">
        <v>0.15</v>
      </c>
    </row>
    <row r="105" spans="1:12">
      <c r="A105" s="55">
        <v>98</v>
      </c>
      <c r="B105" s="55" t="s">
        <v>144</v>
      </c>
      <c r="C105" s="55">
        <v>38</v>
      </c>
      <c r="D105" s="55">
        <v>46</v>
      </c>
      <c r="E105" s="55">
        <v>38</v>
      </c>
      <c r="F105" s="55">
        <v>46</v>
      </c>
      <c r="G105" s="55">
        <v>-17.39</v>
      </c>
      <c r="H105" s="55">
        <v>-17.39</v>
      </c>
      <c r="I105" s="55">
        <v>0.22</v>
      </c>
      <c r="J105" s="55">
        <v>0.22</v>
      </c>
      <c r="K105" s="55">
        <v>0.32</v>
      </c>
      <c r="L105" s="55">
        <v>0.32</v>
      </c>
    </row>
    <row r="106" spans="1:12">
      <c r="A106" s="55">
        <v>99</v>
      </c>
      <c r="B106" s="55" t="s">
        <v>942</v>
      </c>
      <c r="C106" s="55">
        <v>38</v>
      </c>
      <c r="D106" s="55">
        <v>9</v>
      </c>
      <c r="E106" s="55">
        <v>38</v>
      </c>
      <c r="F106" s="55">
        <v>9</v>
      </c>
      <c r="G106" s="55">
        <v>322.22000000000003</v>
      </c>
      <c r="H106" s="55">
        <v>322.22000000000003</v>
      </c>
      <c r="I106" s="55">
        <v>0.22</v>
      </c>
      <c r="J106" s="55">
        <v>0.22</v>
      </c>
      <c r="K106" s="55">
        <v>0.06</v>
      </c>
      <c r="L106" s="55">
        <v>0.06</v>
      </c>
    </row>
    <row r="107" spans="1:12">
      <c r="A107" s="55">
        <v>100</v>
      </c>
      <c r="B107" s="55" t="s">
        <v>85</v>
      </c>
      <c r="C107" s="55">
        <v>37</v>
      </c>
      <c r="D107" s="55">
        <v>104</v>
      </c>
      <c r="E107" s="55">
        <v>37</v>
      </c>
      <c r="F107" s="55">
        <v>104</v>
      </c>
      <c r="G107" s="55">
        <v>-64.42</v>
      </c>
      <c r="H107" s="55">
        <v>-64.42</v>
      </c>
      <c r="I107" s="55">
        <v>0.22</v>
      </c>
      <c r="J107" s="55">
        <v>0.22</v>
      </c>
      <c r="K107" s="55">
        <v>0.71</v>
      </c>
      <c r="L107" s="55">
        <v>0.71</v>
      </c>
    </row>
    <row r="108" spans="1:12">
      <c r="A108" s="55">
        <v>101</v>
      </c>
      <c r="B108" s="55" t="s">
        <v>130</v>
      </c>
      <c r="C108" s="55">
        <v>37</v>
      </c>
      <c r="D108" s="55">
        <v>29</v>
      </c>
      <c r="E108" s="55">
        <v>37</v>
      </c>
      <c r="F108" s="55">
        <v>29</v>
      </c>
      <c r="G108" s="55">
        <v>27.59</v>
      </c>
      <c r="H108" s="55">
        <v>27.59</v>
      </c>
      <c r="I108" s="55">
        <v>0.22</v>
      </c>
      <c r="J108" s="55">
        <v>0.22</v>
      </c>
      <c r="K108" s="55">
        <v>0.2</v>
      </c>
      <c r="L108" s="55">
        <v>0.2</v>
      </c>
    </row>
    <row r="109" spans="1:12">
      <c r="A109" s="55">
        <v>102</v>
      </c>
      <c r="B109" s="55" t="s">
        <v>93</v>
      </c>
      <c r="C109" s="55">
        <v>37</v>
      </c>
      <c r="D109" s="55">
        <v>24</v>
      </c>
      <c r="E109" s="55">
        <v>37</v>
      </c>
      <c r="F109" s="55">
        <v>24</v>
      </c>
      <c r="G109" s="55">
        <v>54.17</v>
      </c>
      <c r="H109" s="55">
        <v>54.17</v>
      </c>
      <c r="I109" s="55">
        <v>0.22</v>
      </c>
      <c r="J109" s="55">
        <v>0.22</v>
      </c>
      <c r="K109" s="55">
        <v>0.16</v>
      </c>
      <c r="L109" s="55">
        <v>0.16</v>
      </c>
    </row>
    <row r="110" spans="1:12">
      <c r="A110" s="55">
        <v>103</v>
      </c>
      <c r="B110" s="55" t="s">
        <v>342</v>
      </c>
      <c r="C110" s="55">
        <v>37</v>
      </c>
      <c r="D110" s="55">
        <v>17</v>
      </c>
      <c r="E110" s="55">
        <v>37</v>
      </c>
      <c r="F110" s="55">
        <v>17</v>
      </c>
      <c r="G110" s="55">
        <v>117.65</v>
      </c>
      <c r="H110" s="55">
        <v>117.65</v>
      </c>
      <c r="I110" s="55">
        <v>0.22</v>
      </c>
      <c r="J110" s="55">
        <v>0.22</v>
      </c>
      <c r="K110" s="55">
        <v>0.12</v>
      </c>
      <c r="L110" s="55">
        <v>0.12</v>
      </c>
    </row>
    <row r="111" spans="1:12">
      <c r="A111" s="55">
        <v>104</v>
      </c>
      <c r="B111" s="55" t="s">
        <v>977</v>
      </c>
      <c r="C111" s="55">
        <v>37</v>
      </c>
      <c r="D111" s="55">
        <v>3</v>
      </c>
      <c r="E111" s="55">
        <v>37</v>
      </c>
      <c r="F111" s="55">
        <v>3</v>
      </c>
      <c r="G111" s="55">
        <v>1133.33</v>
      </c>
      <c r="H111" s="55">
        <v>1133.33</v>
      </c>
      <c r="I111" s="55">
        <v>0.22</v>
      </c>
      <c r="J111" s="55">
        <v>0.22</v>
      </c>
      <c r="K111" s="55">
        <v>0.02</v>
      </c>
      <c r="L111" s="55">
        <v>0.02</v>
      </c>
    </row>
    <row r="112" spans="1:12">
      <c r="A112" s="55">
        <v>105</v>
      </c>
      <c r="B112" s="55" t="s">
        <v>68</v>
      </c>
      <c r="C112" s="55">
        <v>36</v>
      </c>
      <c r="D112" s="55">
        <v>117</v>
      </c>
      <c r="E112" s="55">
        <v>36</v>
      </c>
      <c r="F112" s="55">
        <v>117</v>
      </c>
      <c r="G112" s="55">
        <v>-69.23</v>
      </c>
      <c r="H112" s="55">
        <v>-69.23</v>
      </c>
      <c r="I112" s="55">
        <v>0.21</v>
      </c>
      <c r="J112" s="55">
        <v>0.21</v>
      </c>
      <c r="K112" s="55">
        <v>0.8</v>
      </c>
      <c r="L112" s="55">
        <v>0.8</v>
      </c>
    </row>
    <row r="113" spans="1:12">
      <c r="A113" s="55">
        <v>106</v>
      </c>
      <c r="B113" s="55" t="s">
        <v>559</v>
      </c>
      <c r="C113" s="55">
        <v>36</v>
      </c>
      <c r="D113" s="55">
        <v>69</v>
      </c>
      <c r="E113" s="55">
        <v>36</v>
      </c>
      <c r="F113" s="55">
        <v>69</v>
      </c>
      <c r="G113" s="55">
        <v>-47.83</v>
      </c>
      <c r="H113" s="55">
        <v>-47.83</v>
      </c>
      <c r="I113" s="55">
        <v>0.21</v>
      </c>
      <c r="J113" s="55">
        <v>0.21</v>
      </c>
      <c r="K113" s="55">
        <v>0.47</v>
      </c>
      <c r="L113" s="55">
        <v>0.47</v>
      </c>
    </row>
    <row r="114" spans="1:12">
      <c r="A114" s="55">
        <v>107</v>
      </c>
      <c r="B114" s="55" t="s">
        <v>87</v>
      </c>
      <c r="C114" s="55">
        <v>36</v>
      </c>
      <c r="D114" s="55">
        <v>68</v>
      </c>
      <c r="E114" s="55">
        <v>36</v>
      </c>
      <c r="F114" s="55">
        <v>68</v>
      </c>
      <c r="G114" s="55">
        <v>-47.06</v>
      </c>
      <c r="H114" s="55">
        <v>-47.06</v>
      </c>
      <c r="I114" s="55">
        <v>0.21</v>
      </c>
      <c r="J114" s="55">
        <v>0.21</v>
      </c>
      <c r="K114" s="55">
        <v>0.47</v>
      </c>
      <c r="L114" s="55">
        <v>0.47</v>
      </c>
    </row>
    <row r="115" spans="1:12">
      <c r="A115" s="55">
        <v>108</v>
      </c>
      <c r="B115" s="55" t="s">
        <v>925</v>
      </c>
      <c r="C115" s="55">
        <v>36</v>
      </c>
      <c r="D115" s="55">
        <v>26</v>
      </c>
      <c r="E115" s="55">
        <v>36</v>
      </c>
      <c r="F115" s="55">
        <v>26</v>
      </c>
      <c r="G115" s="55">
        <v>38.46</v>
      </c>
      <c r="H115" s="55">
        <v>38.46</v>
      </c>
      <c r="I115" s="55">
        <v>0.21</v>
      </c>
      <c r="J115" s="55">
        <v>0.21</v>
      </c>
      <c r="K115" s="55">
        <v>0.18</v>
      </c>
      <c r="L115" s="55">
        <v>0.18</v>
      </c>
    </row>
    <row r="116" spans="1:12">
      <c r="A116" s="55">
        <v>109</v>
      </c>
      <c r="B116" s="55" t="s">
        <v>348</v>
      </c>
      <c r="C116" s="55">
        <v>36</v>
      </c>
      <c r="D116" s="55">
        <v>8</v>
      </c>
      <c r="E116" s="55">
        <v>36</v>
      </c>
      <c r="F116" s="55">
        <v>8</v>
      </c>
      <c r="G116" s="55">
        <v>350</v>
      </c>
      <c r="H116" s="55">
        <v>350</v>
      </c>
      <c r="I116" s="55">
        <v>0.21</v>
      </c>
      <c r="J116" s="55">
        <v>0.21</v>
      </c>
      <c r="K116" s="55">
        <v>0.05</v>
      </c>
      <c r="L116" s="55">
        <v>0.05</v>
      </c>
    </row>
    <row r="117" spans="1:12">
      <c r="A117" s="55">
        <v>110</v>
      </c>
      <c r="B117" s="55" t="s">
        <v>1079</v>
      </c>
      <c r="C117" s="55">
        <v>36</v>
      </c>
      <c r="D117" s="55">
        <v>0</v>
      </c>
      <c r="E117" s="55">
        <v>36</v>
      </c>
      <c r="F117" s="55">
        <v>0</v>
      </c>
      <c r="G117" s="55">
        <v>0</v>
      </c>
      <c r="H117" s="55">
        <v>0</v>
      </c>
      <c r="I117" s="55">
        <v>0.21</v>
      </c>
      <c r="J117" s="55">
        <v>0.21</v>
      </c>
      <c r="K117" s="55">
        <v>0</v>
      </c>
      <c r="L117" s="55">
        <v>0</v>
      </c>
    </row>
    <row r="118" spans="1:12">
      <c r="A118" s="55">
        <v>111</v>
      </c>
      <c r="B118" s="55" t="s">
        <v>116</v>
      </c>
      <c r="C118" s="55">
        <v>35</v>
      </c>
      <c r="D118" s="55">
        <v>14</v>
      </c>
      <c r="E118" s="55">
        <v>35</v>
      </c>
      <c r="F118" s="55">
        <v>14</v>
      </c>
      <c r="G118" s="55">
        <v>150</v>
      </c>
      <c r="H118" s="55">
        <v>150</v>
      </c>
      <c r="I118" s="55">
        <v>0.2</v>
      </c>
      <c r="J118" s="55">
        <v>0.2</v>
      </c>
      <c r="K118" s="55">
        <v>0.1</v>
      </c>
      <c r="L118" s="55">
        <v>0.1</v>
      </c>
    </row>
    <row r="119" spans="1:12">
      <c r="A119" s="55">
        <v>112</v>
      </c>
      <c r="B119" s="55" t="s">
        <v>159</v>
      </c>
      <c r="C119" s="55">
        <v>35</v>
      </c>
      <c r="D119" s="55">
        <v>12</v>
      </c>
      <c r="E119" s="55">
        <v>35</v>
      </c>
      <c r="F119" s="55">
        <v>12</v>
      </c>
      <c r="G119" s="55">
        <v>191.67</v>
      </c>
      <c r="H119" s="55">
        <v>191.67</v>
      </c>
      <c r="I119" s="55">
        <v>0.2</v>
      </c>
      <c r="J119" s="55">
        <v>0.2</v>
      </c>
      <c r="K119" s="55">
        <v>0.08</v>
      </c>
      <c r="L119" s="55">
        <v>0.08</v>
      </c>
    </row>
    <row r="120" spans="1:12">
      <c r="A120" s="55">
        <v>113</v>
      </c>
      <c r="B120" s="55" t="s">
        <v>1080</v>
      </c>
      <c r="C120" s="55">
        <v>35</v>
      </c>
      <c r="D120" s="55">
        <v>0</v>
      </c>
      <c r="E120" s="55">
        <v>35</v>
      </c>
      <c r="F120" s="55">
        <v>0</v>
      </c>
      <c r="G120" s="55">
        <v>0</v>
      </c>
      <c r="H120" s="55">
        <v>0</v>
      </c>
      <c r="I120" s="55">
        <v>0.2</v>
      </c>
      <c r="J120" s="55">
        <v>0.2</v>
      </c>
      <c r="K120" s="55">
        <v>0</v>
      </c>
      <c r="L120" s="55">
        <v>0</v>
      </c>
    </row>
    <row r="121" spans="1:12">
      <c r="A121" s="55">
        <v>114</v>
      </c>
      <c r="B121" s="55" t="s">
        <v>69</v>
      </c>
      <c r="C121" s="55">
        <v>34</v>
      </c>
      <c r="D121" s="55">
        <v>77</v>
      </c>
      <c r="E121" s="55">
        <v>34</v>
      </c>
      <c r="F121" s="55">
        <v>77</v>
      </c>
      <c r="G121" s="55">
        <v>-55.84</v>
      </c>
      <c r="H121" s="55">
        <v>-55.84</v>
      </c>
      <c r="I121" s="55">
        <v>0.2</v>
      </c>
      <c r="J121" s="55">
        <v>0.2</v>
      </c>
      <c r="K121" s="55">
        <v>0.53</v>
      </c>
      <c r="L121" s="55">
        <v>0.53</v>
      </c>
    </row>
    <row r="122" spans="1:12">
      <c r="A122" s="55">
        <v>115</v>
      </c>
      <c r="B122" s="55" t="s">
        <v>143</v>
      </c>
      <c r="C122" s="55">
        <v>34</v>
      </c>
      <c r="D122" s="55">
        <v>34</v>
      </c>
      <c r="E122" s="55">
        <v>34</v>
      </c>
      <c r="F122" s="55">
        <v>34</v>
      </c>
      <c r="G122" s="55">
        <v>0</v>
      </c>
      <c r="H122" s="55">
        <v>0</v>
      </c>
      <c r="I122" s="55">
        <v>0.2</v>
      </c>
      <c r="J122" s="55">
        <v>0.2</v>
      </c>
      <c r="K122" s="55">
        <v>0.23</v>
      </c>
      <c r="L122" s="55">
        <v>0.23</v>
      </c>
    </row>
    <row r="123" spans="1:12">
      <c r="A123" s="55">
        <v>116</v>
      </c>
      <c r="B123" s="55" t="s">
        <v>926</v>
      </c>
      <c r="C123" s="55">
        <v>34</v>
      </c>
      <c r="D123" s="55">
        <v>33</v>
      </c>
      <c r="E123" s="55">
        <v>34</v>
      </c>
      <c r="F123" s="55">
        <v>33</v>
      </c>
      <c r="G123" s="55">
        <v>3.03</v>
      </c>
      <c r="H123" s="55">
        <v>3.03</v>
      </c>
      <c r="I123" s="55">
        <v>0.2</v>
      </c>
      <c r="J123" s="55">
        <v>0.2</v>
      </c>
      <c r="K123" s="55">
        <v>0.23</v>
      </c>
      <c r="L123" s="55">
        <v>0.23</v>
      </c>
    </row>
    <row r="124" spans="1:12">
      <c r="A124" s="55">
        <v>117</v>
      </c>
      <c r="B124" s="55" t="s">
        <v>151</v>
      </c>
      <c r="C124" s="55">
        <v>34</v>
      </c>
      <c r="D124" s="55">
        <v>24</v>
      </c>
      <c r="E124" s="55">
        <v>34</v>
      </c>
      <c r="F124" s="55">
        <v>24</v>
      </c>
      <c r="G124" s="55">
        <v>41.67</v>
      </c>
      <c r="H124" s="55">
        <v>41.67</v>
      </c>
      <c r="I124" s="55">
        <v>0.2</v>
      </c>
      <c r="J124" s="55">
        <v>0.2</v>
      </c>
      <c r="K124" s="55">
        <v>0.16</v>
      </c>
      <c r="L124" s="55">
        <v>0.16</v>
      </c>
    </row>
    <row r="125" spans="1:12">
      <c r="A125" s="55">
        <v>118</v>
      </c>
      <c r="B125" s="55" t="s">
        <v>142</v>
      </c>
      <c r="C125" s="55">
        <v>33</v>
      </c>
      <c r="D125" s="55">
        <v>22</v>
      </c>
      <c r="E125" s="55">
        <v>33</v>
      </c>
      <c r="F125" s="55">
        <v>22</v>
      </c>
      <c r="G125" s="55">
        <v>50</v>
      </c>
      <c r="H125" s="55">
        <v>50</v>
      </c>
      <c r="I125" s="55">
        <v>0.19</v>
      </c>
      <c r="J125" s="55">
        <v>0.19</v>
      </c>
      <c r="K125" s="55">
        <v>0.15</v>
      </c>
      <c r="L125" s="55">
        <v>0.15</v>
      </c>
    </row>
    <row r="126" spans="1:12">
      <c r="A126" s="55">
        <v>119</v>
      </c>
      <c r="B126" s="55" t="s">
        <v>363</v>
      </c>
      <c r="C126" s="55">
        <v>32</v>
      </c>
      <c r="D126" s="55">
        <v>17</v>
      </c>
      <c r="E126" s="55">
        <v>32</v>
      </c>
      <c r="F126" s="55">
        <v>17</v>
      </c>
      <c r="G126" s="55">
        <v>88.24</v>
      </c>
      <c r="H126" s="55">
        <v>88.24</v>
      </c>
      <c r="I126" s="55">
        <v>0.19</v>
      </c>
      <c r="J126" s="55">
        <v>0.19</v>
      </c>
      <c r="K126" s="55">
        <v>0.12</v>
      </c>
      <c r="L126" s="55">
        <v>0.12</v>
      </c>
    </row>
    <row r="127" spans="1:12">
      <c r="A127" s="55">
        <v>120</v>
      </c>
      <c r="B127" s="55" t="s">
        <v>956</v>
      </c>
      <c r="C127" s="55">
        <v>31</v>
      </c>
      <c r="D127" s="55">
        <v>14</v>
      </c>
      <c r="E127" s="55">
        <v>31</v>
      </c>
      <c r="F127" s="55">
        <v>14</v>
      </c>
      <c r="G127" s="55">
        <v>121.43</v>
      </c>
      <c r="H127" s="55">
        <v>121.43</v>
      </c>
      <c r="I127" s="55">
        <v>0.18</v>
      </c>
      <c r="J127" s="55">
        <v>0.18</v>
      </c>
      <c r="K127" s="55">
        <v>0.1</v>
      </c>
      <c r="L127" s="55">
        <v>0.1</v>
      </c>
    </row>
    <row r="128" spans="1:12">
      <c r="A128" s="55">
        <v>121</v>
      </c>
      <c r="B128" s="55" t="s">
        <v>164</v>
      </c>
      <c r="C128" s="55">
        <v>30</v>
      </c>
      <c r="D128" s="55">
        <v>36</v>
      </c>
      <c r="E128" s="55">
        <v>30</v>
      </c>
      <c r="F128" s="55">
        <v>36</v>
      </c>
      <c r="G128" s="55">
        <v>-16.670000000000002</v>
      </c>
      <c r="H128" s="55">
        <v>-16.670000000000002</v>
      </c>
      <c r="I128" s="55">
        <v>0.17</v>
      </c>
      <c r="J128" s="55">
        <v>0.17</v>
      </c>
      <c r="K128" s="55">
        <v>0.25</v>
      </c>
      <c r="L128" s="55">
        <v>0.25</v>
      </c>
    </row>
    <row r="129" spans="1:12">
      <c r="A129" s="55">
        <v>122</v>
      </c>
      <c r="B129" s="55" t="s">
        <v>932</v>
      </c>
      <c r="C129" s="55">
        <v>30</v>
      </c>
      <c r="D129" s="55">
        <v>18</v>
      </c>
      <c r="E129" s="55">
        <v>30</v>
      </c>
      <c r="F129" s="55">
        <v>18</v>
      </c>
      <c r="G129" s="55">
        <v>66.67</v>
      </c>
      <c r="H129" s="55">
        <v>66.67</v>
      </c>
      <c r="I129" s="55">
        <v>0.17</v>
      </c>
      <c r="J129" s="55">
        <v>0.17</v>
      </c>
      <c r="K129" s="55">
        <v>0.12</v>
      </c>
      <c r="L129" s="55">
        <v>0.12</v>
      </c>
    </row>
    <row r="130" spans="1:12">
      <c r="A130" s="55">
        <v>123</v>
      </c>
      <c r="B130" s="55" t="s">
        <v>109</v>
      </c>
      <c r="C130" s="55">
        <v>30</v>
      </c>
      <c r="D130" s="55">
        <v>0</v>
      </c>
      <c r="E130" s="55">
        <v>30</v>
      </c>
      <c r="F130" s="55">
        <v>0</v>
      </c>
      <c r="G130" s="55">
        <v>0</v>
      </c>
      <c r="H130" s="55">
        <v>0</v>
      </c>
      <c r="I130" s="55">
        <v>0.17</v>
      </c>
      <c r="J130" s="55">
        <v>0.17</v>
      </c>
      <c r="K130" s="55">
        <v>0</v>
      </c>
      <c r="L130" s="55">
        <v>0</v>
      </c>
    </row>
    <row r="131" spans="1:12">
      <c r="A131" s="55">
        <v>124</v>
      </c>
      <c r="B131" s="55" t="s">
        <v>1092</v>
      </c>
      <c r="C131" s="55">
        <v>30</v>
      </c>
      <c r="D131" s="55">
        <v>0</v>
      </c>
      <c r="E131" s="55">
        <v>30</v>
      </c>
      <c r="F131" s="55">
        <v>0</v>
      </c>
      <c r="G131" s="55">
        <v>0</v>
      </c>
      <c r="H131" s="55">
        <v>0</v>
      </c>
      <c r="I131" s="55">
        <v>0.17</v>
      </c>
      <c r="J131" s="55">
        <v>0.17</v>
      </c>
      <c r="K131" s="55">
        <v>0</v>
      </c>
      <c r="L131" s="55">
        <v>0</v>
      </c>
    </row>
    <row r="132" spans="1:12">
      <c r="A132" s="55">
        <v>125</v>
      </c>
      <c r="B132" s="55" t="s">
        <v>75</v>
      </c>
      <c r="C132" s="55">
        <v>29</v>
      </c>
      <c r="D132" s="55">
        <v>40</v>
      </c>
      <c r="E132" s="55">
        <v>29</v>
      </c>
      <c r="F132" s="55">
        <v>40</v>
      </c>
      <c r="G132" s="55">
        <v>-27.5</v>
      </c>
      <c r="H132" s="55">
        <v>-27.5</v>
      </c>
      <c r="I132" s="55">
        <v>0.17</v>
      </c>
      <c r="J132" s="55">
        <v>0.17</v>
      </c>
      <c r="K132" s="55">
        <v>0.27</v>
      </c>
      <c r="L132" s="55">
        <v>0.27</v>
      </c>
    </row>
    <row r="133" spans="1:12">
      <c r="A133" s="55">
        <v>126</v>
      </c>
      <c r="B133" s="55" t="s">
        <v>574</v>
      </c>
      <c r="C133" s="55">
        <v>29</v>
      </c>
      <c r="D133" s="55">
        <v>29</v>
      </c>
      <c r="E133" s="55">
        <v>29</v>
      </c>
      <c r="F133" s="55">
        <v>29</v>
      </c>
      <c r="G133" s="55">
        <v>0</v>
      </c>
      <c r="H133" s="55">
        <v>0</v>
      </c>
      <c r="I133" s="55">
        <v>0.17</v>
      </c>
      <c r="J133" s="55">
        <v>0.17</v>
      </c>
      <c r="K133" s="55">
        <v>0.2</v>
      </c>
      <c r="L133" s="55">
        <v>0.2</v>
      </c>
    </row>
    <row r="134" spans="1:12">
      <c r="A134" s="55">
        <v>127</v>
      </c>
      <c r="B134" s="55" t="s">
        <v>954</v>
      </c>
      <c r="C134" s="55">
        <v>29</v>
      </c>
      <c r="D134" s="55">
        <v>10</v>
      </c>
      <c r="E134" s="55">
        <v>29</v>
      </c>
      <c r="F134" s="55">
        <v>10</v>
      </c>
      <c r="G134" s="55">
        <v>190</v>
      </c>
      <c r="H134" s="55">
        <v>190</v>
      </c>
      <c r="I134" s="55">
        <v>0.17</v>
      </c>
      <c r="J134" s="55">
        <v>0.17</v>
      </c>
      <c r="K134" s="55">
        <v>7.0000000000000007E-2</v>
      </c>
      <c r="L134" s="55">
        <v>7.0000000000000007E-2</v>
      </c>
    </row>
    <row r="135" spans="1:12">
      <c r="A135" s="55">
        <v>128</v>
      </c>
      <c r="B135" s="55" t="s">
        <v>124</v>
      </c>
      <c r="C135" s="55">
        <v>28</v>
      </c>
      <c r="D135" s="55">
        <v>78</v>
      </c>
      <c r="E135" s="55">
        <v>28</v>
      </c>
      <c r="F135" s="55">
        <v>78</v>
      </c>
      <c r="G135" s="55">
        <v>-64.099999999999994</v>
      </c>
      <c r="H135" s="55">
        <v>-64.099999999999994</v>
      </c>
      <c r="I135" s="55">
        <v>0.16</v>
      </c>
      <c r="J135" s="55">
        <v>0.16</v>
      </c>
      <c r="K135" s="55">
        <v>0.53</v>
      </c>
      <c r="L135" s="55">
        <v>0.53</v>
      </c>
    </row>
    <row r="136" spans="1:12">
      <c r="A136" s="55">
        <v>129</v>
      </c>
      <c r="B136" s="55" t="s">
        <v>102</v>
      </c>
      <c r="C136" s="55">
        <v>28</v>
      </c>
      <c r="D136" s="55">
        <v>24</v>
      </c>
      <c r="E136" s="55">
        <v>28</v>
      </c>
      <c r="F136" s="55">
        <v>24</v>
      </c>
      <c r="G136" s="55">
        <v>16.670000000000002</v>
      </c>
      <c r="H136" s="55">
        <v>16.670000000000002</v>
      </c>
      <c r="I136" s="55">
        <v>0.16</v>
      </c>
      <c r="J136" s="55">
        <v>0.16</v>
      </c>
      <c r="K136" s="55">
        <v>0.16</v>
      </c>
      <c r="L136" s="55">
        <v>0.16</v>
      </c>
    </row>
    <row r="137" spans="1:12">
      <c r="A137" s="55">
        <v>130</v>
      </c>
      <c r="B137" s="55" t="s">
        <v>96</v>
      </c>
      <c r="C137" s="55">
        <v>26</v>
      </c>
      <c r="D137" s="55">
        <v>37</v>
      </c>
      <c r="E137" s="55">
        <v>26</v>
      </c>
      <c r="F137" s="55">
        <v>37</v>
      </c>
      <c r="G137" s="55">
        <v>-29.73</v>
      </c>
      <c r="H137" s="55">
        <v>-29.73</v>
      </c>
      <c r="I137" s="55">
        <v>0.15</v>
      </c>
      <c r="J137" s="55">
        <v>0.15</v>
      </c>
      <c r="K137" s="55">
        <v>0.25</v>
      </c>
      <c r="L137" s="55">
        <v>0.25</v>
      </c>
    </row>
    <row r="138" spans="1:12">
      <c r="A138" s="55">
        <v>131</v>
      </c>
      <c r="B138" s="55" t="s">
        <v>1115</v>
      </c>
      <c r="C138" s="55">
        <v>25</v>
      </c>
      <c r="D138" s="55">
        <v>0</v>
      </c>
      <c r="E138" s="55">
        <v>25</v>
      </c>
      <c r="F138" s="55">
        <v>0</v>
      </c>
      <c r="G138" s="55">
        <v>0</v>
      </c>
      <c r="H138" s="55">
        <v>0</v>
      </c>
      <c r="I138" s="55">
        <v>0.15</v>
      </c>
      <c r="J138" s="55">
        <v>0.15</v>
      </c>
      <c r="K138" s="55">
        <v>0</v>
      </c>
      <c r="L138" s="55">
        <v>0</v>
      </c>
    </row>
    <row r="139" spans="1:12">
      <c r="A139" s="55">
        <v>132</v>
      </c>
      <c r="B139" s="55" t="s">
        <v>582</v>
      </c>
      <c r="C139" s="55">
        <v>24</v>
      </c>
      <c r="D139" s="55">
        <v>5</v>
      </c>
      <c r="E139" s="55">
        <v>24</v>
      </c>
      <c r="F139" s="55">
        <v>5</v>
      </c>
      <c r="G139" s="55">
        <v>380</v>
      </c>
      <c r="H139" s="55">
        <v>380</v>
      </c>
      <c r="I139" s="55">
        <v>0.14000000000000001</v>
      </c>
      <c r="J139" s="55">
        <v>0.14000000000000001</v>
      </c>
      <c r="K139" s="55">
        <v>0.03</v>
      </c>
      <c r="L139" s="55">
        <v>0.03</v>
      </c>
    </row>
    <row r="140" spans="1:12">
      <c r="A140" s="55">
        <v>133</v>
      </c>
      <c r="B140" s="55" t="s">
        <v>208</v>
      </c>
      <c r="C140" s="55">
        <v>24</v>
      </c>
      <c r="D140" s="55">
        <v>3</v>
      </c>
      <c r="E140" s="55">
        <v>24</v>
      </c>
      <c r="F140" s="55">
        <v>3</v>
      </c>
      <c r="G140" s="55">
        <v>700</v>
      </c>
      <c r="H140" s="55">
        <v>700</v>
      </c>
      <c r="I140" s="55">
        <v>0.14000000000000001</v>
      </c>
      <c r="J140" s="55">
        <v>0.14000000000000001</v>
      </c>
      <c r="K140" s="55">
        <v>0.02</v>
      </c>
      <c r="L140" s="55">
        <v>0.02</v>
      </c>
    </row>
    <row r="141" spans="1:12">
      <c r="A141" s="55">
        <v>134</v>
      </c>
      <c r="B141" s="55" t="s">
        <v>95</v>
      </c>
      <c r="C141" s="55">
        <v>23</v>
      </c>
      <c r="D141" s="55">
        <v>34</v>
      </c>
      <c r="E141" s="55">
        <v>23</v>
      </c>
      <c r="F141" s="55">
        <v>34</v>
      </c>
      <c r="G141" s="55">
        <v>-32.35</v>
      </c>
      <c r="H141" s="55">
        <v>-32.35</v>
      </c>
      <c r="I141" s="55">
        <v>0.13</v>
      </c>
      <c r="J141" s="55">
        <v>0.13</v>
      </c>
      <c r="K141" s="55">
        <v>0.23</v>
      </c>
      <c r="L141" s="55">
        <v>0.23</v>
      </c>
    </row>
    <row r="142" spans="1:12">
      <c r="A142" s="55">
        <v>135</v>
      </c>
      <c r="B142" s="55" t="s">
        <v>92</v>
      </c>
      <c r="C142" s="55">
        <v>23</v>
      </c>
      <c r="D142" s="55">
        <v>30</v>
      </c>
      <c r="E142" s="55">
        <v>23</v>
      </c>
      <c r="F142" s="55">
        <v>30</v>
      </c>
      <c r="G142" s="55">
        <v>-23.33</v>
      </c>
      <c r="H142" s="55">
        <v>-23.33</v>
      </c>
      <c r="I142" s="55">
        <v>0.13</v>
      </c>
      <c r="J142" s="55">
        <v>0.13</v>
      </c>
      <c r="K142" s="55">
        <v>0.21</v>
      </c>
      <c r="L142" s="55">
        <v>0.21</v>
      </c>
    </row>
    <row r="143" spans="1:12">
      <c r="A143" s="55">
        <v>136</v>
      </c>
      <c r="B143" s="55" t="s">
        <v>122</v>
      </c>
      <c r="C143" s="55">
        <v>23</v>
      </c>
      <c r="D143" s="55">
        <v>25</v>
      </c>
      <c r="E143" s="55">
        <v>23</v>
      </c>
      <c r="F143" s="55">
        <v>25</v>
      </c>
      <c r="G143" s="55">
        <v>-8</v>
      </c>
      <c r="H143" s="55">
        <v>-8</v>
      </c>
      <c r="I143" s="55">
        <v>0.13</v>
      </c>
      <c r="J143" s="55">
        <v>0.13</v>
      </c>
      <c r="K143" s="55">
        <v>0.17</v>
      </c>
      <c r="L143" s="55">
        <v>0.17</v>
      </c>
    </row>
    <row r="144" spans="1:12">
      <c r="A144" s="55">
        <v>137</v>
      </c>
      <c r="B144" s="55" t="s">
        <v>114</v>
      </c>
      <c r="C144" s="55">
        <v>23</v>
      </c>
      <c r="D144" s="55">
        <v>8</v>
      </c>
      <c r="E144" s="55">
        <v>23</v>
      </c>
      <c r="F144" s="55">
        <v>8</v>
      </c>
      <c r="G144" s="55">
        <v>187.5</v>
      </c>
      <c r="H144" s="55">
        <v>187.5</v>
      </c>
      <c r="I144" s="55">
        <v>0.13</v>
      </c>
      <c r="J144" s="55">
        <v>0.13</v>
      </c>
      <c r="K144" s="55">
        <v>0.05</v>
      </c>
      <c r="L144" s="55">
        <v>0.05</v>
      </c>
    </row>
    <row r="145" spans="1:12">
      <c r="A145" s="55">
        <v>138</v>
      </c>
      <c r="B145" s="55" t="s">
        <v>121</v>
      </c>
      <c r="C145" s="55">
        <v>22</v>
      </c>
      <c r="D145" s="55">
        <v>39</v>
      </c>
      <c r="E145" s="55">
        <v>22</v>
      </c>
      <c r="F145" s="55">
        <v>39</v>
      </c>
      <c r="G145" s="55">
        <v>-43.59</v>
      </c>
      <c r="H145" s="55">
        <v>-43.59</v>
      </c>
      <c r="I145" s="55">
        <v>0.13</v>
      </c>
      <c r="J145" s="55">
        <v>0.13</v>
      </c>
      <c r="K145" s="55">
        <v>0.27</v>
      </c>
      <c r="L145" s="55">
        <v>0.27</v>
      </c>
    </row>
    <row r="146" spans="1:12">
      <c r="A146" s="55">
        <v>139</v>
      </c>
      <c r="B146" s="55" t="s">
        <v>634</v>
      </c>
      <c r="C146" s="55">
        <v>20</v>
      </c>
      <c r="D146" s="55">
        <v>81</v>
      </c>
      <c r="E146" s="55">
        <v>20</v>
      </c>
      <c r="F146" s="55">
        <v>81</v>
      </c>
      <c r="G146" s="55">
        <v>-75.31</v>
      </c>
      <c r="H146" s="55">
        <v>-75.31</v>
      </c>
      <c r="I146" s="55">
        <v>0.12</v>
      </c>
      <c r="J146" s="55">
        <v>0.12</v>
      </c>
      <c r="K146" s="55">
        <v>0.55000000000000004</v>
      </c>
      <c r="L146" s="55">
        <v>0.55000000000000004</v>
      </c>
    </row>
    <row r="147" spans="1:12">
      <c r="A147" s="55">
        <v>140</v>
      </c>
      <c r="B147" s="55" t="s">
        <v>975</v>
      </c>
      <c r="C147" s="55">
        <v>20</v>
      </c>
      <c r="D147" s="55">
        <v>16</v>
      </c>
      <c r="E147" s="55">
        <v>20</v>
      </c>
      <c r="F147" s="55">
        <v>16</v>
      </c>
      <c r="G147" s="55">
        <v>25</v>
      </c>
      <c r="H147" s="55">
        <v>25</v>
      </c>
      <c r="I147" s="55">
        <v>0.12</v>
      </c>
      <c r="J147" s="55">
        <v>0.12</v>
      </c>
      <c r="K147" s="55">
        <v>0.11</v>
      </c>
      <c r="L147" s="55">
        <v>0.11</v>
      </c>
    </row>
    <row r="148" spans="1:12">
      <c r="A148" s="55">
        <v>141</v>
      </c>
      <c r="B148" s="55" t="s">
        <v>451</v>
      </c>
      <c r="C148" s="55">
        <v>19</v>
      </c>
      <c r="D148" s="55">
        <v>178</v>
      </c>
      <c r="E148" s="55">
        <v>19</v>
      </c>
      <c r="F148" s="55">
        <v>178</v>
      </c>
      <c r="G148" s="55">
        <v>-89.33</v>
      </c>
      <c r="H148" s="55">
        <v>-89.33</v>
      </c>
      <c r="I148" s="55">
        <v>0.11</v>
      </c>
      <c r="J148" s="55">
        <v>0.11</v>
      </c>
      <c r="K148" s="55">
        <v>1.22</v>
      </c>
      <c r="L148" s="55">
        <v>1.22</v>
      </c>
    </row>
    <row r="149" spans="1:12">
      <c r="A149" s="55">
        <v>142</v>
      </c>
      <c r="B149" s="55" t="s">
        <v>196</v>
      </c>
      <c r="C149" s="55">
        <v>19</v>
      </c>
      <c r="D149" s="55">
        <v>16</v>
      </c>
      <c r="E149" s="55">
        <v>19</v>
      </c>
      <c r="F149" s="55">
        <v>16</v>
      </c>
      <c r="G149" s="55">
        <v>18.75</v>
      </c>
      <c r="H149" s="55">
        <v>18.75</v>
      </c>
      <c r="I149" s="55">
        <v>0.11</v>
      </c>
      <c r="J149" s="55">
        <v>0.11</v>
      </c>
      <c r="K149" s="55">
        <v>0.11</v>
      </c>
      <c r="L149" s="55">
        <v>0.11</v>
      </c>
    </row>
    <row r="150" spans="1:12">
      <c r="A150" s="55">
        <v>143</v>
      </c>
      <c r="B150" s="55" t="s">
        <v>186</v>
      </c>
      <c r="C150" s="55">
        <v>19</v>
      </c>
      <c r="D150" s="55">
        <v>8</v>
      </c>
      <c r="E150" s="55">
        <v>19</v>
      </c>
      <c r="F150" s="55">
        <v>8</v>
      </c>
      <c r="G150" s="55">
        <v>137.5</v>
      </c>
      <c r="H150" s="55">
        <v>137.5</v>
      </c>
      <c r="I150" s="55">
        <v>0.11</v>
      </c>
      <c r="J150" s="55">
        <v>0.11</v>
      </c>
      <c r="K150" s="55">
        <v>0.05</v>
      </c>
      <c r="L150" s="55">
        <v>0.05</v>
      </c>
    </row>
    <row r="151" spans="1:12">
      <c r="A151" s="55">
        <v>144</v>
      </c>
      <c r="B151" s="55" t="s">
        <v>98</v>
      </c>
      <c r="C151" s="55">
        <v>18</v>
      </c>
      <c r="D151" s="55">
        <v>200</v>
      </c>
      <c r="E151" s="55">
        <v>18</v>
      </c>
      <c r="F151" s="55">
        <v>200</v>
      </c>
      <c r="G151" s="55">
        <v>-91</v>
      </c>
      <c r="H151" s="55">
        <v>-91</v>
      </c>
      <c r="I151" s="55">
        <v>0.1</v>
      </c>
      <c r="J151" s="55">
        <v>0.1</v>
      </c>
      <c r="K151" s="55">
        <v>1.37</v>
      </c>
      <c r="L151" s="55">
        <v>1.37</v>
      </c>
    </row>
    <row r="152" spans="1:12">
      <c r="A152" s="55">
        <v>145</v>
      </c>
      <c r="B152" s="55" t="s">
        <v>343</v>
      </c>
      <c r="C152" s="55">
        <v>18</v>
      </c>
      <c r="D152" s="55">
        <v>102</v>
      </c>
      <c r="E152" s="55">
        <v>18</v>
      </c>
      <c r="F152" s="55">
        <v>102</v>
      </c>
      <c r="G152" s="55">
        <v>-82.35</v>
      </c>
      <c r="H152" s="55">
        <v>-82.35</v>
      </c>
      <c r="I152" s="55">
        <v>0.1</v>
      </c>
      <c r="J152" s="55">
        <v>0.1</v>
      </c>
      <c r="K152" s="55">
        <v>0.7</v>
      </c>
      <c r="L152" s="55">
        <v>0.7</v>
      </c>
    </row>
    <row r="153" spans="1:12">
      <c r="A153" s="55">
        <v>146</v>
      </c>
      <c r="B153" s="55" t="s">
        <v>637</v>
      </c>
      <c r="C153" s="55">
        <v>18</v>
      </c>
      <c r="D153" s="55">
        <v>12</v>
      </c>
      <c r="E153" s="55">
        <v>18</v>
      </c>
      <c r="F153" s="55">
        <v>12</v>
      </c>
      <c r="G153" s="55">
        <v>50</v>
      </c>
      <c r="H153" s="55">
        <v>50</v>
      </c>
      <c r="I153" s="55">
        <v>0.1</v>
      </c>
      <c r="J153" s="55">
        <v>0.1</v>
      </c>
      <c r="K153" s="55">
        <v>0.08</v>
      </c>
      <c r="L153" s="55">
        <v>0.08</v>
      </c>
    </row>
    <row r="154" spans="1:12">
      <c r="A154" s="55">
        <v>147</v>
      </c>
      <c r="B154" s="55" t="s">
        <v>176</v>
      </c>
      <c r="C154" s="55">
        <v>18</v>
      </c>
      <c r="D154" s="55">
        <v>9</v>
      </c>
      <c r="E154" s="55">
        <v>18</v>
      </c>
      <c r="F154" s="55">
        <v>9</v>
      </c>
      <c r="G154" s="55">
        <v>100</v>
      </c>
      <c r="H154" s="55">
        <v>100</v>
      </c>
      <c r="I154" s="55">
        <v>0.1</v>
      </c>
      <c r="J154" s="55">
        <v>0.1</v>
      </c>
      <c r="K154" s="55">
        <v>0.06</v>
      </c>
      <c r="L154" s="55">
        <v>0.06</v>
      </c>
    </row>
    <row r="155" spans="1:12">
      <c r="A155" s="55">
        <v>148</v>
      </c>
      <c r="B155" s="55" t="s">
        <v>167</v>
      </c>
      <c r="C155" s="55">
        <v>18</v>
      </c>
      <c r="D155" s="55">
        <v>7</v>
      </c>
      <c r="E155" s="55">
        <v>18</v>
      </c>
      <c r="F155" s="55">
        <v>7</v>
      </c>
      <c r="G155" s="55">
        <v>157.13999999999999</v>
      </c>
      <c r="H155" s="55">
        <v>157.13999999999999</v>
      </c>
      <c r="I155" s="55">
        <v>0.1</v>
      </c>
      <c r="J155" s="55">
        <v>0.1</v>
      </c>
      <c r="K155" s="55">
        <v>0.05</v>
      </c>
      <c r="L155" s="55">
        <v>0.05</v>
      </c>
    </row>
    <row r="156" spans="1:12">
      <c r="A156" s="55">
        <v>149</v>
      </c>
      <c r="B156" s="55" t="s">
        <v>62</v>
      </c>
      <c r="C156" s="55">
        <v>17</v>
      </c>
      <c r="D156" s="55">
        <v>77</v>
      </c>
      <c r="E156" s="55">
        <v>17</v>
      </c>
      <c r="F156" s="55">
        <v>77</v>
      </c>
      <c r="G156" s="55">
        <v>-77.92</v>
      </c>
      <c r="H156" s="55">
        <v>-77.92</v>
      </c>
      <c r="I156" s="55">
        <v>0.1</v>
      </c>
      <c r="J156" s="55">
        <v>0.1</v>
      </c>
      <c r="K156" s="55">
        <v>0.53</v>
      </c>
      <c r="L156" s="55">
        <v>0.53</v>
      </c>
    </row>
    <row r="157" spans="1:12">
      <c r="A157" s="55">
        <v>150</v>
      </c>
      <c r="B157" s="55" t="s">
        <v>61</v>
      </c>
      <c r="C157" s="55">
        <v>17</v>
      </c>
      <c r="D157" s="55">
        <v>28</v>
      </c>
      <c r="E157" s="55">
        <v>17</v>
      </c>
      <c r="F157" s="55">
        <v>28</v>
      </c>
      <c r="G157" s="55">
        <v>-39.29</v>
      </c>
      <c r="H157" s="55">
        <v>-39.29</v>
      </c>
      <c r="I157" s="55">
        <v>0.1</v>
      </c>
      <c r="J157" s="55">
        <v>0.1</v>
      </c>
      <c r="K157" s="55">
        <v>0.19</v>
      </c>
      <c r="L157" s="55">
        <v>0.19</v>
      </c>
    </row>
    <row r="158" spans="1:12">
      <c r="A158" s="55">
        <v>151</v>
      </c>
      <c r="B158" s="55" t="s">
        <v>943</v>
      </c>
      <c r="C158" s="55">
        <v>17</v>
      </c>
      <c r="D158" s="55">
        <v>28</v>
      </c>
      <c r="E158" s="55">
        <v>17</v>
      </c>
      <c r="F158" s="55">
        <v>28</v>
      </c>
      <c r="G158" s="55">
        <v>-39.29</v>
      </c>
      <c r="H158" s="55">
        <v>-39.29</v>
      </c>
      <c r="I158" s="55">
        <v>0.1</v>
      </c>
      <c r="J158" s="55">
        <v>0.1</v>
      </c>
      <c r="K158" s="55">
        <v>0.19</v>
      </c>
      <c r="L158" s="55">
        <v>0.19</v>
      </c>
    </row>
    <row r="159" spans="1:12">
      <c r="A159" s="55">
        <v>152</v>
      </c>
      <c r="B159" s="55" t="s">
        <v>179</v>
      </c>
      <c r="C159" s="55">
        <v>17</v>
      </c>
      <c r="D159" s="55">
        <v>25</v>
      </c>
      <c r="E159" s="55">
        <v>17</v>
      </c>
      <c r="F159" s="55">
        <v>25</v>
      </c>
      <c r="G159" s="55">
        <v>-32</v>
      </c>
      <c r="H159" s="55">
        <v>-32</v>
      </c>
      <c r="I159" s="55">
        <v>0.1</v>
      </c>
      <c r="J159" s="55">
        <v>0.1</v>
      </c>
      <c r="K159" s="55">
        <v>0.17</v>
      </c>
      <c r="L159" s="55">
        <v>0.17</v>
      </c>
    </row>
    <row r="160" spans="1:12">
      <c r="A160" s="55">
        <v>153</v>
      </c>
      <c r="B160" s="55" t="s">
        <v>125</v>
      </c>
      <c r="C160" s="55">
        <v>17</v>
      </c>
      <c r="D160" s="55">
        <v>1</v>
      </c>
      <c r="E160" s="55">
        <v>17</v>
      </c>
      <c r="F160" s="55">
        <v>1</v>
      </c>
      <c r="G160" s="55">
        <v>1600</v>
      </c>
      <c r="H160" s="55">
        <v>1600</v>
      </c>
      <c r="I160" s="55">
        <v>0.1</v>
      </c>
      <c r="J160" s="55">
        <v>0.1</v>
      </c>
      <c r="K160" s="55">
        <v>0.01</v>
      </c>
      <c r="L160" s="55">
        <v>0.01</v>
      </c>
    </row>
    <row r="161" spans="1:12">
      <c r="A161" s="55">
        <v>154</v>
      </c>
      <c r="B161" s="55" t="s">
        <v>139</v>
      </c>
      <c r="C161" s="55">
        <v>17</v>
      </c>
      <c r="D161" s="55">
        <v>1</v>
      </c>
      <c r="E161" s="55">
        <v>17</v>
      </c>
      <c r="F161" s="55">
        <v>1</v>
      </c>
      <c r="G161" s="55">
        <v>1600</v>
      </c>
      <c r="H161" s="55">
        <v>1600</v>
      </c>
      <c r="I161" s="55">
        <v>0.1</v>
      </c>
      <c r="J161" s="55">
        <v>0.1</v>
      </c>
      <c r="K161" s="55">
        <v>0.01</v>
      </c>
      <c r="L161" s="55">
        <v>0.01</v>
      </c>
    </row>
    <row r="162" spans="1:12">
      <c r="A162" s="55">
        <v>155</v>
      </c>
      <c r="B162" s="55" t="s">
        <v>73</v>
      </c>
      <c r="C162" s="55">
        <v>16</v>
      </c>
      <c r="D162" s="55">
        <v>20</v>
      </c>
      <c r="E162" s="55">
        <v>16</v>
      </c>
      <c r="F162" s="55">
        <v>20</v>
      </c>
      <c r="G162" s="55">
        <v>-20</v>
      </c>
      <c r="H162" s="55">
        <v>-20</v>
      </c>
      <c r="I162" s="55">
        <v>0.09</v>
      </c>
      <c r="J162" s="55">
        <v>0.09</v>
      </c>
      <c r="K162" s="55">
        <v>0.14000000000000001</v>
      </c>
      <c r="L162" s="55">
        <v>0.14000000000000001</v>
      </c>
    </row>
    <row r="163" spans="1:12">
      <c r="A163" s="55">
        <v>156</v>
      </c>
      <c r="B163" s="55" t="s">
        <v>126</v>
      </c>
      <c r="C163" s="55">
        <v>16</v>
      </c>
      <c r="D163" s="55">
        <v>14</v>
      </c>
      <c r="E163" s="55">
        <v>16</v>
      </c>
      <c r="F163" s="55">
        <v>14</v>
      </c>
      <c r="G163" s="55">
        <v>14.29</v>
      </c>
      <c r="H163" s="55">
        <v>14.29</v>
      </c>
      <c r="I163" s="55">
        <v>0.09</v>
      </c>
      <c r="J163" s="55">
        <v>0.09</v>
      </c>
      <c r="K163" s="55">
        <v>0.1</v>
      </c>
      <c r="L163" s="55">
        <v>0.1</v>
      </c>
    </row>
    <row r="164" spans="1:12">
      <c r="A164" s="55">
        <v>157</v>
      </c>
      <c r="B164" s="55" t="s">
        <v>606</v>
      </c>
      <c r="C164" s="55">
        <v>15</v>
      </c>
      <c r="D164" s="55">
        <v>67</v>
      </c>
      <c r="E164" s="55">
        <v>15</v>
      </c>
      <c r="F164" s="55">
        <v>67</v>
      </c>
      <c r="G164" s="55">
        <v>-77.61</v>
      </c>
      <c r="H164" s="55">
        <v>-77.61</v>
      </c>
      <c r="I164" s="55">
        <v>0.09</v>
      </c>
      <c r="J164" s="55">
        <v>0.09</v>
      </c>
      <c r="K164" s="55">
        <v>0.46</v>
      </c>
      <c r="L164" s="55">
        <v>0.46</v>
      </c>
    </row>
    <row r="165" spans="1:12">
      <c r="A165" s="55">
        <v>158</v>
      </c>
      <c r="B165" s="55" t="s">
        <v>643</v>
      </c>
      <c r="C165" s="55">
        <v>15</v>
      </c>
      <c r="D165" s="55">
        <v>65</v>
      </c>
      <c r="E165" s="55">
        <v>15</v>
      </c>
      <c r="F165" s="55">
        <v>65</v>
      </c>
      <c r="G165" s="55">
        <v>-76.92</v>
      </c>
      <c r="H165" s="55">
        <v>-76.92</v>
      </c>
      <c r="I165" s="55">
        <v>0.09</v>
      </c>
      <c r="J165" s="55">
        <v>0.09</v>
      </c>
      <c r="K165" s="55">
        <v>0.45</v>
      </c>
      <c r="L165" s="55">
        <v>0.45</v>
      </c>
    </row>
    <row r="166" spans="1:12">
      <c r="A166" s="55">
        <v>159</v>
      </c>
      <c r="B166" s="55" t="s">
        <v>149</v>
      </c>
      <c r="C166" s="55">
        <v>15</v>
      </c>
      <c r="D166" s="55">
        <v>17</v>
      </c>
      <c r="E166" s="55">
        <v>15</v>
      </c>
      <c r="F166" s="55">
        <v>17</v>
      </c>
      <c r="G166" s="55">
        <v>-11.76</v>
      </c>
      <c r="H166" s="55">
        <v>-11.76</v>
      </c>
      <c r="I166" s="55">
        <v>0.09</v>
      </c>
      <c r="J166" s="55">
        <v>0.09</v>
      </c>
      <c r="K166" s="55">
        <v>0.12</v>
      </c>
      <c r="L166" s="55">
        <v>0.12</v>
      </c>
    </row>
    <row r="167" spans="1:12">
      <c r="A167" s="55">
        <v>160</v>
      </c>
      <c r="B167" s="55" t="s">
        <v>146</v>
      </c>
      <c r="C167" s="55">
        <v>15</v>
      </c>
      <c r="D167" s="55">
        <v>13</v>
      </c>
      <c r="E167" s="55">
        <v>15</v>
      </c>
      <c r="F167" s="55">
        <v>13</v>
      </c>
      <c r="G167" s="55">
        <v>15.38</v>
      </c>
      <c r="H167" s="55">
        <v>15.38</v>
      </c>
      <c r="I167" s="55">
        <v>0.09</v>
      </c>
      <c r="J167" s="55">
        <v>0.09</v>
      </c>
      <c r="K167" s="55">
        <v>0.09</v>
      </c>
      <c r="L167" s="55">
        <v>0.09</v>
      </c>
    </row>
    <row r="168" spans="1:12">
      <c r="A168" s="55">
        <v>161</v>
      </c>
      <c r="B168" s="55" t="s">
        <v>181</v>
      </c>
      <c r="C168" s="55">
        <v>15</v>
      </c>
      <c r="D168" s="55">
        <v>0</v>
      </c>
      <c r="E168" s="55">
        <v>15</v>
      </c>
      <c r="F168" s="55">
        <v>0</v>
      </c>
      <c r="G168" s="55">
        <v>0</v>
      </c>
      <c r="H168" s="55">
        <v>0</v>
      </c>
      <c r="I168" s="55">
        <v>0.09</v>
      </c>
      <c r="J168" s="55">
        <v>0.09</v>
      </c>
      <c r="K168" s="55">
        <v>0</v>
      </c>
      <c r="L168" s="55">
        <v>0</v>
      </c>
    </row>
    <row r="169" spans="1:12">
      <c r="A169" s="55">
        <v>162</v>
      </c>
      <c r="B169" s="55" t="s">
        <v>161</v>
      </c>
      <c r="C169" s="55">
        <v>14</v>
      </c>
      <c r="D169" s="55">
        <v>16</v>
      </c>
      <c r="E169" s="55">
        <v>14</v>
      </c>
      <c r="F169" s="55">
        <v>16</v>
      </c>
      <c r="G169" s="55">
        <v>-12.5</v>
      </c>
      <c r="H169" s="55">
        <v>-12.5</v>
      </c>
      <c r="I169" s="55">
        <v>0.08</v>
      </c>
      <c r="J169" s="55">
        <v>0.08</v>
      </c>
      <c r="K169" s="55">
        <v>0.11</v>
      </c>
      <c r="L169" s="55">
        <v>0.11</v>
      </c>
    </row>
    <row r="170" spans="1:12">
      <c r="A170" s="55">
        <v>163</v>
      </c>
      <c r="B170" s="55" t="s">
        <v>148</v>
      </c>
      <c r="C170" s="55">
        <v>13</v>
      </c>
      <c r="D170" s="55">
        <v>18</v>
      </c>
      <c r="E170" s="55">
        <v>13</v>
      </c>
      <c r="F170" s="55">
        <v>18</v>
      </c>
      <c r="G170" s="55">
        <v>-27.78</v>
      </c>
      <c r="H170" s="55">
        <v>-27.78</v>
      </c>
      <c r="I170" s="55">
        <v>0.08</v>
      </c>
      <c r="J170" s="55">
        <v>0.08</v>
      </c>
      <c r="K170" s="55">
        <v>0.12</v>
      </c>
      <c r="L170" s="55">
        <v>0.12</v>
      </c>
    </row>
    <row r="171" spans="1:12">
      <c r="A171" s="55">
        <v>164</v>
      </c>
      <c r="B171" s="55" t="s">
        <v>518</v>
      </c>
      <c r="C171" s="55">
        <v>13</v>
      </c>
      <c r="D171" s="55">
        <v>10</v>
      </c>
      <c r="E171" s="55">
        <v>13</v>
      </c>
      <c r="F171" s="55">
        <v>10</v>
      </c>
      <c r="G171" s="55">
        <v>30</v>
      </c>
      <c r="H171" s="55">
        <v>30</v>
      </c>
      <c r="I171" s="55">
        <v>0.08</v>
      </c>
      <c r="J171" s="55">
        <v>0.08</v>
      </c>
      <c r="K171" s="55">
        <v>7.0000000000000007E-2</v>
      </c>
      <c r="L171" s="55">
        <v>7.0000000000000007E-2</v>
      </c>
    </row>
    <row r="172" spans="1:12">
      <c r="A172" s="55">
        <v>165</v>
      </c>
      <c r="B172" s="55" t="s">
        <v>166</v>
      </c>
      <c r="C172" s="55">
        <v>13</v>
      </c>
      <c r="D172" s="55">
        <v>4</v>
      </c>
      <c r="E172" s="55">
        <v>13</v>
      </c>
      <c r="F172" s="55">
        <v>4</v>
      </c>
      <c r="G172" s="55">
        <v>225</v>
      </c>
      <c r="H172" s="55">
        <v>225</v>
      </c>
      <c r="I172" s="55">
        <v>0.08</v>
      </c>
      <c r="J172" s="55">
        <v>0.08</v>
      </c>
      <c r="K172" s="55">
        <v>0.03</v>
      </c>
      <c r="L172" s="55">
        <v>0.03</v>
      </c>
    </row>
    <row r="173" spans="1:12">
      <c r="A173" s="55">
        <v>166</v>
      </c>
      <c r="B173" s="55" t="s">
        <v>113</v>
      </c>
      <c r="C173" s="55">
        <v>13</v>
      </c>
      <c r="D173" s="55">
        <v>4</v>
      </c>
      <c r="E173" s="55">
        <v>13</v>
      </c>
      <c r="F173" s="55">
        <v>4</v>
      </c>
      <c r="G173" s="55">
        <v>225</v>
      </c>
      <c r="H173" s="55">
        <v>225</v>
      </c>
      <c r="I173" s="55">
        <v>0.08</v>
      </c>
      <c r="J173" s="55">
        <v>0.08</v>
      </c>
      <c r="K173" s="55">
        <v>0.03</v>
      </c>
      <c r="L173" s="55">
        <v>0.03</v>
      </c>
    </row>
    <row r="174" spans="1:12">
      <c r="A174" s="55">
        <v>167</v>
      </c>
      <c r="B174" s="55" t="s">
        <v>155</v>
      </c>
      <c r="C174" s="55">
        <v>12</v>
      </c>
      <c r="D174" s="55">
        <v>23</v>
      </c>
      <c r="E174" s="55">
        <v>12</v>
      </c>
      <c r="F174" s="55">
        <v>23</v>
      </c>
      <c r="G174" s="55">
        <v>-47.83</v>
      </c>
      <c r="H174" s="55">
        <v>-47.83</v>
      </c>
      <c r="I174" s="55">
        <v>7.0000000000000007E-2</v>
      </c>
      <c r="J174" s="55">
        <v>7.0000000000000007E-2</v>
      </c>
      <c r="K174" s="55">
        <v>0.16</v>
      </c>
      <c r="L174" s="55">
        <v>0.16</v>
      </c>
    </row>
    <row r="175" spans="1:12">
      <c r="A175" s="55">
        <v>168</v>
      </c>
      <c r="B175" s="55" t="s">
        <v>89</v>
      </c>
      <c r="C175" s="55">
        <v>12</v>
      </c>
      <c r="D175" s="55">
        <v>19</v>
      </c>
      <c r="E175" s="55">
        <v>12</v>
      </c>
      <c r="F175" s="55">
        <v>19</v>
      </c>
      <c r="G175" s="55">
        <v>-36.840000000000003</v>
      </c>
      <c r="H175" s="55">
        <v>-36.840000000000003</v>
      </c>
      <c r="I175" s="55">
        <v>7.0000000000000007E-2</v>
      </c>
      <c r="J175" s="55">
        <v>7.0000000000000007E-2</v>
      </c>
      <c r="K175" s="55">
        <v>0.13</v>
      </c>
      <c r="L175" s="55">
        <v>0.13</v>
      </c>
    </row>
    <row r="176" spans="1:12">
      <c r="A176" s="55">
        <v>169</v>
      </c>
      <c r="B176" s="55" t="s">
        <v>172</v>
      </c>
      <c r="C176" s="55">
        <v>12</v>
      </c>
      <c r="D176" s="55">
        <v>2</v>
      </c>
      <c r="E176" s="55">
        <v>12</v>
      </c>
      <c r="F176" s="55">
        <v>2</v>
      </c>
      <c r="G176" s="55">
        <v>500</v>
      </c>
      <c r="H176" s="55">
        <v>500</v>
      </c>
      <c r="I176" s="55">
        <v>7.0000000000000007E-2</v>
      </c>
      <c r="J176" s="55">
        <v>7.0000000000000007E-2</v>
      </c>
      <c r="K176" s="55">
        <v>0.01</v>
      </c>
      <c r="L176" s="55">
        <v>0.01</v>
      </c>
    </row>
    <row r="177" spans="1:12">
      <c r="A177" s="55">
        <v>170</v>
      </c>
      <c r="B177" s="55" t="s">
        <v>547</v>
      </c>
      <c r="C177" s="55">
        <v>12</v>
      </c>
      <c r="D177" s="55">
        <v>0</v>
      </c>
      <c r="E177" s="55">
        <v>12</v>
      </c>
      <c r="F177" s="55">
        <v>0</v>
      </c>
      <c r="G177" s="55">
        <v>0</v>
      </c>
      <c r="H177" s="55">
        <v>0</v>
      </c>
      <c r="I177" s="55">
        <v>7.0000000000000007E-2</v>
      </c>
      <c r="J177" s="55">
        <v>7.0000000000000007E-2</v>
      </c>
      <c r="K177" s="55">
        <v>0</v>
      </c>
      <c r="L177" s="55">
        <v>0</v>
      </c>
    </row>
    <row r="178" spans="1:12">
      <c r="A178" s="55">
        <v>171</v>
      </c>
      <c r="B178" s="55" t="s">
        <v>160</v>
      </c>
      <c r="C178" s="55">
        <v>11</v>
      </c>
      <c r="D178" s="55">
        <v>20</v>
      </c>
      <c r="E178" s="55">
        <v>11</v>
      </c>
      <c r="F178" s="55">
        <v>20</v>
      </c>
      <c r="G178" s="55">
        <v>-45</v>
      </c>
      <c r="H178" s="55">
        <v>-45</v>
      </c>
      <c r="I178" s="55">
        <v>0.06</v>
      </c>
      <c r="J178" s="55">
        <v>0.06</v>
      </c>
      <c r="K178" s="55">
        <v>0.14000000000000001</v>
      </c>
      <c r="L178" s="55">
        <v>0.14000000000000001</v>
      </c>
    </row>
    <row r="179" spans="1:12">
      <c r="A179" s="55">
        <v>172</v>
      </c>
      <c r="B179" s="55" t="s">
        <v>555</v>
      </c>
      <c r="C179" s="55">
        <v>11</v>
      </c>
      <c r="D179" s="55">
        <v>14</v>
      </c>
      <c r="E179" s="55">
        <v>11</v>
      </c>
      <c r="F179" s="55">
        <v>14</v>
      </c>
      <c r="G179" s="55">
        <v>-21.43</v>
      </c>
      <c r="H179" s="55">
        <v>-21.43</v>
      </c>
      <c r="I179" s="55">
        <v>0.06</v>
      </c>
      <c r="J179" s="55">
        <v>0.06</v>
      </c>
      <c r="K179" s="55">
        <v>0.1</v>
      </c>
      <c r="L179" s="55">
        <v>0.1</v>
      </c>
    </row>
    <row r="180" spans="1:12">
      <c r="A180" s="55">
        <v>173</v>
      </c>
      <c r="B180" s="55" t="s">
        <v>140</v>
      </c>
      <c r="C180" s="55">
        <v>11</v>
      </c>
      <c r="D180" s="55">
        <v>13</v>
      </c>
      <c r="E180" s="55">
        <v>11</v>
      </c>
      <c r="F180" s="55">
        <v>13</v>
      </c>
      <c r="G180" s="55">
        <v>-15.38</v>
      </c>
      <c r="H180" s="55">
        <v>-15.38</v>
      </c>
      <c r="I180" s="55">
        <v>0.06</v>
      </c>
      <c r="J180" s="55">
        <v>0.06</v>
      </c>
      <c r="K180" s="55">
        <v>0.09</v>
      </c>
      <c r="L180" s="55">
        <v>0.09</v>
      </c>
    </row>
    <row r="181" spans="1:12">
      <c r="A181" s="55">
        <v>174</v>
      </c>
      <c r="B181" s="55" t="s">
        <v>1091</v>
      </c>
      <c r="C181" s="55">
        <v>11</v>
      </c>
      <c r="D181" s="55">
        <v>0</v>
      </c>
      <c r="E181" s="55">
        <v>11</v>
      </c>
      <c r="F181" s="55">
        <v>0</v>
      </c>
      <c r="G181" s="55">
        <v>0</v>
      </c>
      <c r="H181" s="55">
        <v>0</v>
      </c>
      <c r="I181" s="55">
        <v>0.06</v>
      </c>
      <c r="J181" s="55">
        <v>0.06</v>
      </c>
      <c r="K181" s="55">
        <v>0</v>
      </c>
      <c r="L181" s="55">
        <v>0</v>
      </c>
    </row>
    <row r="182" spans="1:12">
      <c r="A182" s="55">
        <v>175</v>
      </c>
      <c r="B182" s="55" t="s">
        <v>112</v>
      </c>
      <c r="C182" s="55">
        <v>10</v>
      </c>
      <c r="D182" s="55">
        <v>29</v>
      </c>
      <c r="E182" s="55">
        <v>10</v>
      </c>
      <c r="F182" s="55">
        <v>29</v>
      </c>
      <c r="G182" s="55">
        <v>-65.52</v>
      </c>
      <c r="H182" s="55">
        <v>-65.52</v>
      </c>
      <c r="I182" s="55">
        <v>0.06</v>
      </c>
      <c r="J182" s="55">
        <v>0.06</v>
      </c>
      <c r="K182" s="55">
        <v>0.2</v>
      </c>
      <c r="L182" s="55">
        <v>0.2</v>
      </c>
    </row>
    <row r="183" spans="1:12">
      <c r="A183" s="55">
        <v>176</v>
      </c>
      <c r="B183" s="55" t="s">
        <v>119</v>
      </c>
      <c r="C183" s="55">
        <v>10</v>
      </c>
      <c r="D183" s="55">
        <v>16</v>
      </c>
      <c r="E183" s="55">
        <v>10</v>
      </c>
      <c r="F183" s="55">
        <v>16</v>
      </c>
      <c r="G183" s="55">
        <v>-37.5</v>
      </c>
      <c r="H183" s="55">
        <v>-37.5</v>
      </c>
      <c r="I183" s="55">
        <v>0.06</v>
      </c>
      <c r="J183" s="55">
        <v>0.06</v>
      </c>
      <c r="K183" s="55">
        <v>0.11</v>
      </c>
      <c r="L183" s="55">
        <v>0.11</v>
      </c>
    </row>
    <row r="184" spans="1:12">
      <c r="A184" s="55">
        <v>177</v>
      </c>
      <c r="B184" s="55" t="s">
        <v>365</v>
      </c>
      <c r="C184" s="55">
        <v>10</v>
      </c>
      <c r="D184" s="55">
        <v>12</v>
      </c>
      <c r="E184" s="55">
        <v>10</v>
      </c>
      <c r="F184" s="55">
        <v>12</v>
      </c>
      <c r="G184" s="55">
        <v>-16.670000000000002</v>
      </c>
      <c r="H184" s="55">
        <v>-16.670000000000002</v>
      </c>
      <c r="I184" s="55">
        <v>0.06</v>
      </c>
      <c r="J184" s="55">
        <v>0.06</v>
      </c>
      <c r="K184" s="55">
        <v>0.08</v>
      </c>
      <c r="L184" s="55">
        <v>0.08</v>
      </c>
    </row>
    <row r="185" spans="1:12">
      <c r="A185" s="55">
        <v>178</v>
      </c>
      <c r="B185" s="55" t="s">
        <v>133</v>
      </c>
      <c r="C185" s="55">
        <v>10</v>
      </c>
      <c r="D185" s="55">
        <v>1</v>
      </c>
      <c r="E185" s="55">
        <v>10</v>
      </c>
      <c r="F185" s="55">
        <v>1</v>
      </c>
      <c r="G185" s="55">
        <v>900</v>
      </c>
      <c r="H185" s="55">
        <v>900</v>
      </c>
      <c r="I185" s="55">
        <v>0.06</v>
      </c>
      <c r="J185" s="55">
        <v>0.06</v>
      </c>
      <c r="K185" s="55">
        <v>0.01</v>
      </c>
      <c r="L185" s="55">
        <v>0.01</v>
      </c>
    </row>
    <row r="186" spans="1:12">
      <c r="A186" s="55">
        <v>179</v>
      </c>
      <c r="B186" s="55" t="s">
        <v>1089</v>
      </c>
      <c r="C186" s="55">
        <v>10</v>
      </c>
      <c r="D186" s="55">
        <v>0</v>
      </c>
      <c r="E186" s="55">
        <v>10</v>
      </c>
      <c r="F186" s="55">
        <v>0</v>
      </c>
      <c r="G186" s="55">
        <v>0</v>
      </c>
      <c r="H186" s="55">
        <v>0</v>
      </c>
      <c r="I186" s="55">
        <v>0.06</v>
      </c>
      <c r="J186" s="55">
        <v>0.06</v>
      </c>
      <c r="K186" s="55">
        <v>0</v>
      </c>
      <c r="L186" s="55">
        <v>0</v>
      </c>
    </row>
    <row r="187" spans="1:12">
      <c r="A187" s="55">
        <v>180</v>
      </c>
      <c r="B187" s="55" t="s">
        <v>636</v>
      </c>
      <c r="C187" s="55">
        <v>9</v>
      </c>
      <c r="D187" s="55">
        <v>38</v>
      </c>
      <c r="E187" s="55">
        <v>9</v>
      </c>
      <c r="F187" s="55">
        <v>38</v>
      </c>
      <c r="G187" s="55">
        <v>-76.319999999999993</v>
      </c>
      <c r="H187" s="55">
        <v>-76.319999999999993</v>
      </c>
      <c r="I187" s="55">
        <v>0.05</v>
      </c>
      <c r="J187" s="55">
        <v>0.05</v>
      </c>
      <c r="K187" s="55">
        <v>0.26</v>
      </c>
      <c r="L187" s="55">
        <v>0.26</v>
      </c>
    </row>
    <row r="188" spans="1:12">
      <c r="A188" s="55">
        <v>181</v>
      </c>
      <c r="B188" s="55" t="s">
        <v>175</v>
      </c>
      <c r="C188" s="55">
        <v>9</v>
      </c>
      <c r="D188" s="55">
        <v>9</v>
      </c>
      <c r="E188" s="55">
        <v>9</v>
      </c>
      <c r="F188" s="55">
        <v>9</v>
      </c>
      <c r="G188" s="55">
        <v>0</v>
      </c>
      <c r="H188" s="55">
        <v>0</v>
      </c>
      <c r="I188" s="55">
        <v>0.05</v>
      </c>
      <c r="J188" s="55">
        <v>0.05</v>
      </c>
      <c r="K188" s="55">
        <v>0.06</v>
      </c>
      <c r="L188" s="55">
        <v>0.06</v>
      </c>
    </row>
    <row r="189" spans="1:12">
      <c r="A189" s="55">
        <v>182</v>
      </c>
      <c r="B189" s="55" t="s">
        <v>192</v>
      </c>
      <c r="C189" s="55">
        <v>9</v>
      </c>
      <c r="D189" s="55">
        <v>4</v>
      </c>
      <c r="E189" s="55">
        <v>9</v>
      </c>
      <c r="F189" s="55">
        <v>4</v>
      </c>
      <c r="G189" s="55">
        <v>125</v>
      </c>
      <c r="H189" s="55">
        <v>125</v>
      </c>
      <c r="I189" s="55">
        <v>0.05</v>
      </c>
      <c r="J189" s="55">
        <v>0.05</v>
      </c>
      <c r="K189" s="55">
        <v>0.03</v>
      </c>
      <c r="L189" s="55">
        <v>0.03</v>
      </c>
    </row>
    <row r="190" spans="1:12">
      <c r="A190" s="55">
        <v>183</v>
      </c>
      <c r="B190" s="55" t="s">
        <v>552</v>
      </c>
      <c r="C190" s="55">
        <v>8</v>
      </c>
      <c r="D190" s="55">
        <v>44</v>
      </c>
      <c r="E190" s="55">
        <v>8</v>
      </c>
      <c r="F190" s="55">
        <v>44</v>
      </c>
      <c r="G190" s="55">
        <v>-81.819999999999993</v>
      </c>
      <c r="H190" s="55">
        <v>-81.819999999999993</v>
      </c>
      <c r="I190" s="55">
        <v>0.05</v>
      </c>
      <c r="J190" s="55">
        <v>0.05</v>
      </c>
      <c r="K190" s="55">
        <v>0.3</v>
      </c>
      <c r="L190" s="55">
        <v>0.3</v>
      </c>
    </row>
    <row r="191" spans="1:12">
      <c r="A191" s="55">
        <v>184</v>
      </c>
      <c r="B191" s="55" t="s">
        <v>108</v>
      </c>
      <c r="C191" s="55">
        <v>8</v>
      </c>
      <c r="D191" s="55">
        <v>43</v>
      </c>
      <c r="E191" s="55">
        <v>8</v>
      </c>
      <c r="F191" s="55">
        <v>43</v>
      </c>
      <c r="G191" s="55">
        <v>-81.400000000000006</v>
      </c>
      <c r="H191" s="55">
        <v>-81.400000000000006</v>
      </c>
      <c r="I191" s="55">
        <v>0.05</v>
      </c>
      <c r="J191" s="55">
        <v>0.05</v>
      </c>
      <c r="K191" s="55">
        <v>0.28999999999999998</v>
      </c>
      <c r="L191" s="55">
        <v>0.28999999999999998</v>
      </c>
    </row>
    <row r="192" spans="1:12">
      <c r="A192" s="55">
        <v>185</v>
      </c>
      <c r="B192" s="55" t="s">
        <v>107</v>
      </c>
      <c r="C192" s="55">
        <v>8</v>
      </c>
      <c r="D192" s="55">
        <v>18</v>
      </c>
      <c r="E192" s="55">
        <v>8</v>
      </c>
      <c r="F192" s="55">
        <v>18</v>
      </c>
      <c r="G192" s="55">
        <v>-55.56</v>
      </c>
      <c r="H192" s="55">
        <v>-55.56</v>
      </c>
      <c r="I192" s="55">
        <v>0.05</v>
      </c>
      <c r="J192" s="55">
        <v>0.05</v>
      </c>
      <c r="K192" s="55">
        <v>0.12</v>
      </c>
      <c r="L192" s="55">
        <v>0.12</v>
      </c>
    </row>
    <row r="193" spans="1:12">
      <c r="A193" s="55">
        <v>186</v>
      </c>
      <c r="B193" s="55" t="s">
        <v>169</v>
      </c>
      <c r="C193" s="55">
        <v>8</v>
      </c>
      <c r="D193" s="55">
        <v>10</v>
      </c>
      <c r="E193" s="55">
        <v>8</v>
      </c>
      <c r="F193" s="55">
        <v>10</v>
      </c>
      <c r="G193" s="55">
        <v>-20</v>
      </c>
      <c r="H193" s="55">
        <v>-20</v>
      </c>
      <c r="I193" s="55">
        <v>0.05</v>
      </c>
      <c r="J193" s="55">
        <v>0.05</v>
      </c>
      <c r="K193" s="55">
        <v>7.0000000000000007E-2</v>
      </c>
      <c r="L193" s="55">
        <v>7.0000000000000007E-2</v>
      </c>
    </row>
    <row r="194" spans="1:12">
      <c r="A194" s="55">
        <v>187</v>
      </c>
      <c r="B194" s="55" t="s">
        <v>197</v>
      </c>
      <c r="C194" s="55">
        <v>8</v>
      </c>
      <c r="D194" s="55">
        <v>6</v>
      </c>
      <c r="E194" s="55">
        <v>8</v>
      </c>
      <c r="F194" s="55">
        <v>6</v>
      </c>
      <c r="G194" s="55">
        <v>33.33</v>
      </c>
      <c r="H194" s="55">
        <v>33.33</v>
      </c>
      <c r="I194" s="55">
        <v>0.05</v>
      </c>
      <c r="J194" s="55">
        <v>0.05</v>
      </c>
      <c r="K194" s="55">
        <v>0.04</v>
      </c>
      <c r="L194" s="55">
        <v>0.04</v>
      </c>
    </row>
    <row r="195" spans="1:12">
      <c r="A195" s="55">
        <v>188</v>
      </c>
      <c r="B195" s="55" t="s">
        <v>173</v>
      </c>
      <c r="C195" s="55">
        <v>8</v>
      </c>
      <c r="D195" s="55">
        <v>2</v>
      </c>
      <c r="E195" s="55">
        <v>8</v>
      </c>
      <c r="F195" s="55">
        <v>2</v>
      </c>
      <c r="G195" s="55">
        <v>300</v>
      </c>
      <c r="H195" s="55">
        <v>300</v>
      </c>
      <c r="I195" s="55">
        <v>0.05</v>
      </c>
      <c r="J195" s="55">
        <v>0.05</v>
      </c>
      <c r="K195" s="55">
        <v>0.01</v>
      </c>
      <c r="L195" s="55">
        <v>0.01</v>
      </c>
    </row>
    <row r="196" spans="1:12">
      <c r="A196" s="55">
        <v>189</v>
      </c>
      <c r="B196" s="55" t="s">
        <v>1058</v>
      </c>
      <c r="C196" s="55">
        <v>8</v>
      </c>
      <c r="D196" s="55">
        <v>0</v>
      </c>
      <c r="E196" s="55">
        <v>8</v>
      </c>
      <c r="F196" s="55">
        <v>0</v>
      </c>
      <c r="G196" s="55">
        <v>0</v>
      </c>
      <c r="H196" s="55">
        <v>0</v>
      </c>
      <c r="I196" s="55">
        <v>0.05</v>
      </c>
      <c r="J196" s="55">
        <v>0.05</v>
      </c>
      <c r="K196" s="55">
        <v>0</v>
      </c>
      <c r="L196" s="55">
        <v>0</v>
      </c>
    </row>
    <row r="197" spans="1:12">
      <c r="A197" s="55">
        <v>190</v>
      </c>
      <c r="B197" s="55" t="s">
        <v>103</v>
      </c>
      <c r="C197" s="55">
        <v>7</v>
      </c>
      <c r="D197" s="55">
        <v>74</v>
      </c>
      <c r="E197" s="55">
        <v>7</v>
      </c>
      <c r="F197" s="55">
        <v>74</v>
      </c>
      <c r="G197" s="55">
        <v>-90.54</v>
      </c>
      <c r="H197" s="55">
        <v>-90.54</v>
      </c>
      <c r="I197" s="55">
        <v>0.04</v>
      </c>
      <c r="J197" s="55">
        <v>0.04</v>
      </c>
      <c r="K197" s="55">
        <v>0.51</v>
      </c>
      <c r="L197" s="55">
        <v>0.51</v>
      </c>
    </row>
    <row r="198" spans="1:12">
      <c r="A198" s="55">
        <v>191</v>
      </c>
      <c r="B198" s="55" t="s">
        <v>183</v>
      </c>
      <c r="C198" s="55">
        <v>7</v>
      </c>
      <c r="D198" s="55">
        <v>8</v>
      </c>
      <c r="E198" s="55">
        <v>7</v>
      </c>
      <c r="F198" s="55">
        <v>8</v>
      </c>
      <c r="G198" s="55">
        <v>-12.5</v>
      </c>
      <c r="H198" s="55">
        <v>-12.5</v>
      </c>
      <c r="I198" s="55">
        <v>0.04</v>
      </c>
      <c r="J198" s="55">
        <v>0.04</v>
      </c>
      <c r="K198" s="55">
        <v>0.05</v>
      </c>
      <c r="L198" s="55">
        <v>0.05</v>
      </c>
    </row>
    <row r="199" spans="1:12">
      <c r="A199" s="55">
        <v>192</v>
      </c>
      <c r="B199" s="55" t="s">
        <v>1121</v>
      </c>
      <c r="C199" s="55">
        <v>7</v>
      </c>
      <c r="D199" s="55">
        <v>0</v>
      </c>
      <c r="E199" s="55">
        <v>7</v>
      </c>
      <c r="F199" s="55">
        <v>0</v>
      </c>
      <c r="G199" s="55">
        <v>0</v>
      </c>
      <c r="H199" s="55">
        <v>0</v>
      </c>
      <c r="I199" s="55">
        <v>0.04</v>
      </c>
      <c r="J199" s="55">
        <v>0.04</v>
      </c>
      <c r="K199" s="55">
        <v>0</v>
      </c>
      <c r="L199" s="55">
        <v>0</v>
      </c>
    </row>
    <row r="200" spans="1:12">
      <c r="A200" s="55">
        <v>193</v>
      </c>
      <c r="B200" s="55" t="s">
        <v>1071</v>
      </c>
      <c r="C200" s="55">
        <v>7</v>
      </c>
      <c r="D200" s="55">
        <v>0</v>
      </c>
      <c r="E200" s="55">
        <v>7</v>
      </c>
      <c r="F200" s="55">
        <v>0</v>
      </c>
      <c r="G200" s="55">
        <v>0</v>
      </c>
      <c r="H200" s="55">
        <v>0</v>
      </c>
      <c r="I200" s="55">
        <v>0.04</v>
      </c>
      <c r="J200" s="55">
        <v>0.04</v>
      </c>
      <c r="K200" s="55">
        <v>0</v>
      </c>
      <c r="L200" s="55">
        <v>0</v>
      </c>
    </row>
    <row r="201" spans="1:12">
      <c r="A201" s="55">
        <v>194</v>
      </c>
      <c r="B201" s="55" t="s">
        <v>995</v>
      </c>
      <c r="C201" s="55">
        <v>7</v>
      </c>
      <c r="D201" s="55">
        <v>0</v>
      </c>
      <c r="E201" s="55">
        <v>7</v>
      </c>
      <c r="F201" s="55">
        <v>0</v>
      </c>
      <c r="G201" s="55">
        <v>0</v>
      </c>
      <c r="H201" s="55">
        <v>0</v>
      </c>
      <c r="I201" s="55">
        <v>0.04</v>
      </c>
      <c r="J201" s="55">
        <v>0.04</v>
      </c>
      <c r="K201" s="55">
        <v>0</v>
      </c>
      <c r="L201" s="55">
        <v>0</v>
      </c>
    </row>
    <row r="202" spans="1:12">
      <c r="A202" s="55">
        <v>195</v>
      </c>
      <c r="B202" s="55" t="s">
        <v>541</v>
      </c>
      <c r="C202" s="55">
        <v>6</v>
      </c>
      <c r="D202" s="55">
        <v>49</v>
      </c>
      <c r="E202" s="55">
        <v>6</v>
      </c>
      <c r="F202" s="55">
        <v>49</v>
      </c>
      <c r="G202" s="55">
        <v>-87.76</v>
      </c>
      <c r="H202" s="55">
        <v>-87.76</v>
      </c>
      <c r="I202" s="55">
        <v>0.03</v>
      </c>
      <c r="J202" s="55">
        <v>0.03</v>
      </c>
      <c r="K202" s="55">
        <v>0.34</v>
      </c>
      <c r="L202" s="55">
        <v>0.34</v>
      </c>
    </row>
    <row r="203" spans="1:12">
      <c r="A203" s="55">
        <v>196</v>
      </c>
      <c r="B203" s="55" t="s">
        <v>449</v>
      </c>
      <c r="C203" s="55">
        <v>6</v>
      </c>
      <c r="D203" s="55">
        <v>30</v>
      </c>
      <c r="E203" s="55">
        <v>6</v>
      </c>
      <c r="F203" s="55">
        <v>30</v>
      </c>
      <c r="G203" s="55">
        <v>-80</v>
      </c>
      <c r="H203" s="55">
        <v>-80</v>
      </c>
      <c r="I203" s="55">
        <v>0.03</v>
      </c>
      <c r="J203" s="55">
        <v>0.03</v>
      </c>
      <c r="K203" s="55">
        <v>0.21</v>
      </c>
      <c r="L203" s="55">
        <v>0.21</v>
      </c>
    </row>
    <row r="204" spans="1:12">
      <c r="A204" s="55">
        <v>197</v>
      </c>
      <c r="B204" s="55" t="s">
        <v>132</v>
      </c>
      <c r="C204" s="55">
        <v>6</v>
      </c>
      <c r="D204" s="55">
        <v>20</v>
      </c>
      <c r="E204" s="55">
        <v>6</v>
      </c>
      <c r="F204" s="55">
        <v>20</v>
      </c>
      <c r="G204" s="55">
        <v>-70</v>
      </c>
      <c r="H204" s="55">
        <v>-70</v>
      </c>
      <c r="I204" s="55">
        <v>0.03</v>
      </c>
      <c r="J204" s="55">
        <v>0.03</v>
      </c>
      <c r="K204" s="55">
        <v>0.14000000000000001</v>
      </c>
      <c r="L204" s="55">
        <v>0.14000000000000001</v>
      </c>
    </row>
    <row r="205" spans="1:12">
      <c r="A205" s="55">
        <v>198</v>
      </c>
      <c r="B205" s="55" t="s">
        <v>158</v>
      </c>
      <c r="C205" s="55">
        <v>6</v>
      </c>
      <c r="D205" s="55">
        <v>11</v>
      </c>
      <c r="E205" s="55">
        <v>6</v>
      </c>
      <c r="F205" s="55">
        <v>11</v>
      </c>
      <c r="G205" s="55">
        <v>-45.45</v>
      </c>
      <c r="H205" s="55">
        <v>-45.45</v>
      </c>
      <c r="I205" s="55">
        <v>0.03</v>
      </c>
      <c r="J205" s="55">
        <v>0.03</v>
      </c>
      <c r="K205" s="55">
        <v>0.08</v>
      </c>
      <c r="L205" s="55">
        <v>0.08</v>
      </c>
    </row>
    <row r="206" spans="1:12">
      <c r="A206" s="55">
        <v>199</v>
      </c>
      <c r="B206" s="55" t="s">
        <v>180</v>
      </c>
      <c r="C206" s="55">
        <v>6</v>
      </c>
      <c r="D206" s="55">
        <v>1</v>
      </c>
      <c r="E206" s="55">
        <v>6</v>
      </c>
      <c r="F206" s="55">
        <v>1</v>
      </c>
      <c r="G206" s="55">
        <v>500</v>
      </c>
      <c r="H206" s="55">
        <v>500</v>
      </c>
      <c r="I206" s="55">
        <v>0.03</v>
      </c>
      <c r="J206" s="55">
        <v>0.03</v>
      </c>
      <c r="K206" s="55">
        <v>0.01</v>
      </c>
      <c r="L206" s="55">
        <v>0.01</v>
      </c>
    </row>
    <row r="207" spans="1:12">
      <c r="A207" s="55">
        <v>200</v>
      </c>
      <c r="B207" s="55" t="s">
        <v>611</v>
      </c>
      <c r="C207" s="55">
        <v>6</v>
      </c>
      <c r="D207" s="55">
        <v>1</v>
      </c>
      <c r="E207" s="55">
        <v>6</v>
      </c>
      <c r="F207" s="55">
        <v>1</v>
      </c>
      <c r="G207" s="55">
        <v>500</v>
      </c>
      <c r="H207" s="55">
        <v>500</v>
      </c>
      <c r="I207" s="55">
        <v>0.03</v>
      </c>
      <c r="J207" s="55">
        <v>0.03</v>
      </c>
      <c r="K207" s="55">
        <v>0.01</v>
      </c>
      <c r="L207" s="55">
        <v>0.01</v>
      </c>
    </row>
    <row r="208" spans="1:12">
      <c r="A208" s="55">
        <v>201</v>
      </c>
      <c r="B208" s="55" t="s">
        <v>1020</v>
      </c>
      <c r="C208" s="55">
        <v>6</v>
      </c>
      <c r="D208" s="55">
        <v>0</v>
      </c>
      <c r="E208" s="55">
        <v>6</v>
      </c>
      <c r="F208" s="55">
        <v>0</v>
      </c>
      <c r="G208" s="55">
        <v>0</v>
      </c>
      <c r="H208" s="55">
        <v>0</v>
      </c>
      <c r="I208" s="55">
        <v>0.03</v>
      </c>
      <c r="J208" s="55">
        <v>0.03</v>
      </c>
      <c r="K208" s="55">
        <v>0</v>
      </c>
      <c r="L208" s="55">
        <v>0</v>
      </c>
    </row>
    <row r="209" spans="1:12">
      <c r="A209" s="55">
        <v>202</v>
      </c>
      <c r="B209" s="55" t="s">
        <v>128</v>
      </c>
      <c r="C209" s="55">
        <v>5</v>
      </c>
      <c r="D209" s="55">
        <v>51</v>
      </c>
      <c r="E209" s="55">
        <v>5</v>
      </c>
      <c r="F209" s="55">
        <v>51</v>
      </c>
      <c r="G209" s="55">
        <v>-90.2</v>
      </c>
      <c r="H209" s="55">
        <v>-90.2</v>
      </c>
      <c r="I209" s="55">
        <v>0.03</v>
      </c>
      <c r="J209" s="55">
        <v>0.03</v>
      </c>
      <c r="K209" s="55">
        <v>0.35</v>
      </c>
      <c r="L209" s="55">
        <v>0.35</v>
      </c>
    </row>
    <row r="210" spans="1:12">
      <c r="A210" s="55">
        <v>203</v>
      </c>
      <c r="B210" s="55" t="s">
        <v>349</v>
      </c>
      <c r="C210" s="55">
        <v>5</v>
      </c>
      <c r="D210" s="55">
        <v>12</v>
      </c>
      <c r="E210" s="55">
        <v>5</v>
      </c>
      <c r="F210" s="55">
        <v>12</v>
      </c>
      <c r="G210" s="55">
        <v>-58.33</v>
      </c>
      <c r="H210" s="55">
        <v>-58.33</v>
      </c>
      <c r="I210" s="55">
        <v>0.03</v>
      </c>
      <c r="J210" s="55">
        <v>0.03</v>
      </c>
      <c r="K210" s="55">
        <v>0.08</v>
      </c>
      <c r="L210" s="55">
        <v>0.08</v>
      </c>
    </row>
    <row r="211" spans="1:12">
      <c r="A211" s="55">
        <v>204</v>
      </c>
      <c r="B211" s="55" t="s">
        <v>168</v>
      </c>
      <c r="C211" s="55">
        <v>5</v>
      </c>
      <c r="D211" s="55">
        <v>11</v>
      </c>
      <c r="E211" s="55">
        <v>5</v>
      </c>
      <c r="F211" s="55">
        <v>11</v>
      </c>
      <c r="G211" s="55">
        <v>-54.55</v>
      </c>
      <c r="H211" s="55">
        <v>-54.55</v>
      </c>
      <c r="I211" s="55">
        <v>0.03</v>
      </c>
      <c r="J211" s="55">
        <v>0.03</v>
      </c>
      <c r="K211" s="55">
        <v>0.08</v>
      </c>
      <c r="L211" s="55">
        <v>0.08</v>
      </c>
    </row>
    <row r="212" spans="1:12">
      <c r="A212" s="55">
        <v>205</v>
      </c>
      <c r="B212" s="55" t="s">
        <v>184</v>
      </c>
      <c r="C212" s="55">
        <v>5</v>
      </c>
      <c r="D212" s="55">
        <v>11</v>
      </c>
      <c r="E212" s="55">
        <v>5</v>
      </c>
      <c r="F212" s="55">
        <v>11</v>
      </c>
      <c r="G212" s="55">
        <v>-54.55</v>
      </c>
      <c r="H212" s="55">
        <v>-54.55</v>
      </c>
      <c r="I212" s="55">
        <v>0.03</v>
      </c>
      <c r="J212" s="55">
        <v>0.03</v>
      </c>
      <c r="K212" s="55">
        <v>0.08</v>
      </c>
      <c r="L212" s="55">
        <v>0.08</v>
      </c>
    </row>
    <row r="213" spans="1:12">
      <c r="A213" s="55">
        <v>206</v>
      </c>
      <c r="B213" s="55" t="s">
        <v>953</v>
      </c>
      <c r="C213" s="55">
        <v>5</v>
      </c>
      <c r="D213" s="55">
        <v>7</v>
      </c>
      <c r="E213" s="55">
        <v>5</v>
      </c>
      <c r="F213" s="55">
        <v>7</v>
      </c>
      <c r="G213" s="55">
        <v>-28.57</v>
      </c>
      <c r="H213" s="55">
        <v>-28.57</v>
      </c>
      <c r="I213" s="55">
        <v>0.03</v>
      </c>
      <c r="J213" s="55">
        <v>0.03</v>
      </c>
      <c r="K213" s="55">
        <v>0.05</v>
      </c>
      <c r="L213" s="55">
        <v>0.05</v>
      </c>
    </row>
    <row r="214" spans="1:12">
      <c r="A214" s="55">
        <v>207</v>
      </c>
      <c r="B214" s="55" t="s">
        <v>97</v>
      </c>
      <c r="C214" s="55">
        <v>5</v>
      </c>
      <c r="D214" s="55">
        <v>7</v>
      </c>
      <c r="E214" s="55">
        <v>5</v>
      </c>
      <c r="F214" s="55">
        <v>7</v>
      </c>
      <c r="G214" s="55">
        <v>-28.57</v>
      </c>
      <c r="H214" s="55">
        <v>-28.57</v>
      </c>
      <c r="I214" s="55">
        <v>0.03</v>
      </c>
      <c r="J214" s="55">
        <v>0.03</v>
      </c>
      <c r="K214" s="55">
        <v>0.05</v>
      </c>
      <c r="L214" s="55">
        <v>0.05</v>
      </c>
    </row>
    <row r="215" spans="1:12">
      <c r="A215" s="55">
        <v>208</v>
      </c>
      <c r="B215" s="55" t="s">
        <v>202</v>
      </c>
      <c r="C215" s="55">
        <v>5</v>
      </c>
      <c r="D215" s="55">
        <v>4</v>
      </c>
      <c r="E215" s="55">
        <v>5</v>
      </c>
      <c r="F215" s="55">
        <v>4</v>
      </c>
      <c r="G215" s="55">
        <v>25</v>
      </c>
      <c r="H215" s="55">
        <v>25</v>
      </c>
      <c r="I215" s="55">
        <v>0.03</v>
      </c>
      <c r="J215" s="55">
        <v>0.03</v>
      </c>
      <c r="K215" s="55">
        <v>0.03</v>
      </c>
      <c r="L215" s="55">
        <v>0.03</v>
      </c>
    </row>
    <row r="216" spans="1:12">
      <c r="A216" s="55">
        <v>209</v>
      </c>
      <c r="B216" s="55" t="s">
        <v>933</v>
      </c>
      <c r="C216" s="55">
        <v>5</v>
      </c>
      <c r="D216" s="55">
        <v>1</v>
      </c>
      <c r="E216" s="55">
        <v>5</v>
      </c>
      <c r="F216" s="55">
        <v>1</v>
      </c>
      <c r="G216" s="55">
        <v>400</v>
      </c>
      <c r="H216" s="55">
        <v>400</v>
      </c>
      <c r="I216" s="55">
        <v>0.03</v>
      </c>
      <c r="J216" s="55">
        <v>0.03</v>
      </c>
      <c r="K216" s="55">
        <v>0.01</v>
      </c>
      <c r="L216" s="55">
        <v>0.01</v>
      </c>
    </row>
    <row r="217" spans="1:12">
      <c r="A217" s="55">
        <v>210</v>
      </c>
      <c r="B217" s="55" t="s">
        <v>193</v>
      </c>
      <c r="C217" s="55">
        <v>5</v>
      </c>
      <c r="D217" s="55">
        <v>0</v>
      </c>
      <c r="E217" s="55">
        <v>5</v>
      </c>
      <c r="F217" s="55">
        <v>0</v>
      </c>
      <c r="G217" s="55">
        <v>0</v>
      </c>
      <c r="H217" s="55">
        <v>0</v>
      </c>
      <c r="I217" s="55">
        <v>0.03</v>
      </c>
      <c r="J217" s="55">
        <v>0.03</v>
      </c>
      <c r="K217" s="55">
        <v>0</v>
      </c>
      <c r="L217" s="55">
        <v>0</v>
      </c>
    </row>
    <row r="218" spans="1:12">
      <c r="A218" s="55">
        <v>211</v>
      </c>
      <c r="B218" s="55" t="s">
        <v>996</v>
      </c>
      <c r="C218" s="55">
        <v>5</v>
      </c>
      <c r="D218" s="55">
        <v>0</v>
      </c>
      <c r="E218" s="55">
        <v>5</v>
      </c>
      <c r="F218" s="55">
        <v>0</v>
      </c>
      <c r="G218" s="55">
        <v>0</v>
      </c>
      <c r="H218" s="55">
        <v>0</v>
      </c>
      <c r="I218" s="55">
        <v>0.03</v>
      </c>
      <c r="J218" s="55">
        <v>0.03</v>
      </c>
      <c r="K218" s="55">
        <v>0</v>
      </c>
      <c r="L218" s="55">
        <v>0</v>
      </c>
    </row>
    <row r="219" spans="1:12">
      <c r="A219" s="55">
        <v>212</v>
      </c>
      <c r="B219" s="55" t="s">
        <v>1035</v>
      </c>
      <c r="C219" s="55">
        <v>5</v>
      </c>
      <c r="D219" s="55">
        <v>0</v>
      </c>
      <c r="E219" s="55">
        <v>5</v>
      </c>
      <c r="F219" s="55">
        <v>0</v>
      </c>
      <c r="G219" s="55">
        <v>0</v>
      </c>
      <c r="H219" s="55">
        <v>0</v>
      </c>
      <c r="I219" s="55">
        <v>0.03</v>
      </c>
      <c r="J219" s="55">
        <v>0.03</v>
      </c>
      <c r="K219" s="55">
        <v>0</v>
      </c>
      <c r="L219" s="55">
        <v>0</v>
      </c>
    </row>
    <row r="220" spans="1:12">
      <c r="A220" s="55">
        <v>213</v>
      </c>
      <c r="B220" s="55" t="s">
        <v>580</v>
      </c>
      <c r="C220" s="55">
        <v>4</v>
      </c>
      <c r="D220" s="55">
        <v>55</v>
      </c>
      <c r="E220" s="55">
        <v>4</v>
      </c>
      <c r="F220" s="55">
        <v>55</v>
      </c>
      <c r="G220" s="55">
        <v>-92.73</v>
      </c>
      <c r="H220" s="55">
        <v>-92.73</v>
      </c>
      <c r="I220" s="55">
        <v>0.02</v>
      </c>
      <c r="J220" s="55">
        <v>0.02</v>
      </c>
      <c r="K220" s="55">
        <v>0.38</v>
      </c>
      <c r="L220" s="55">
        <v>0.38</v>
      </c>
    </row>
    <row r="221" spans="1:12">
      <c r="A221" s="55">
        <v>214</v>
      </c>
      <c r="B221" s="55" t="s">
        <v>138</v>
      </c>
      <c r="C221" s="55">
        <v>4</v>
      </c>
      <c r="D221" s="55">
        <v>35</v>
      </c>
      <c r="E221" s="55">
        <v>4</v>
      </c>
      <c r="F221" s="55">
        <v>35</v>
      </c>
      <c r="G221" s="55">
        <v>-88.57</v>
      </c>
      <c r="H221" s="55">
        <v>-88.57</v>
      </c>
      <c r="I221" s="55">
        <v>0.02</v>
      </c>
      <c r="J221" s="55">
        <v>0.02</v>
      </c>
      <c r="K221" s="55">
        <v>0.24</v>
      </c>
      <c r="L221" s="55">
        <v>0.24</v>
      </c>
    </row>
    <row r="222" spans="1:12">
      <c r="A222" s="55">
        <v>215</v>
      </c>
      <c r="B222" s="55" t="s">
        <v>955</v>
      </c>
      <c r="C222" s="55">
        <v>4</v>
      </c>
      <c r="D222" s="55">
        <v>22</v>
      </c>
      <c r="E222" s="55">
        <v>4</v>
      </c>
      <c r="F222" s="55">
        <v>22</v>
      </c>
      <c r="G222" s="55">
        <v>-81.819999999999993</v>
      </c>
      <c r="H222" s="55">
        <v>-81.819999999999993</v>
      </c>
      <c r="I222" s="55">
        <v>0.02</v>
      </c>
      <c r="J222" s="55">
        <v>0.02</v>
      </c>
      <c r="K222" s="55">
        <v>0.15</v>
      </c>
      <c r="L222" s="55">
        <v>0.15</v>
      </c>
    </row>
    <row r="223" spans="1:12">
      <c r="A223" s="55">
        <v>216</v>
      </c>
      <c r="B223" s="55" t="s">
        <v>152</v>
      </c>
      <c r="C223" s="55">
        <v>4</v>
      </c>
      <c r="D223" s="55">
        <v>8</v>
      </c>
      <c r="E223" s="55">
        <v>4</v>
      </c>
      <c r="F223" s="55">
        <v>8</v>
      </c>
      <c r="G223" s="55">
        <v>-50</v>
      </c>
      <c r="H223" s="55">
        <v>-50</v>
      </c>
      <c r="I223" s="55">
        <v>0.02</v>
      </c>
      <c r="J223" s="55">
        <v>0.02</v>
      </c>
      <c r="K223" s="55">
        <v>0.05</v>
      </c>
      <c r="L223" s="55">
        <v>0.05</v>
      </c>
    </row>
    <row r="224" spans="1:12">
      <c r="A224" s="55">
        <v>217</v>
      </c>
      <c r="B224" s="55" t="s">
        <v>607</v>
      </c>
      <c r="C224" s="55">
        <v>4</v>
      </c>
      <c r="D224" s="55">
        <v>7</v>
      </c>
      <c r="E224" s="55">
        <v>4</v>
      </c>
      <c r="F224" s="55">
        <v>7</v>
      </c>
      <c r="G224" s="55">
        <v>-42.86</v>
      </c>
      <c r="H224" s="55">
        <v>-42.86</v>
      </c>
      <c r="I224" s="55">
        <v>0.02</v>
      </c>
      <c r="J224" s="55">
        <v>0.02</v>
      </c>
      <c r="K224" s="55">
        <v>0.05</v>
      </c>
      <c r="L224" s="55">
        <v>0.05</v>
      </c>
    </row>
    <row r="225" spans="1:12">
      <c r="A225" s="55">
        <v>218</v>
      </c>
      <c r="B225" s="55" t="s">
        <v>203</v>
      </c>
      <c r="C225" s="55">
        <v>4</v>
      </c>
      <c r="D225" s="55">
        <v>4</v>
      </c>
      <c r="E225" s="55">
        <v>4</v>
      </c>
      <c r="F225" s="55">
        <v>4</v>
      </c>
      <c r="G225" s="55">
        <v>0</v>
      </c>
      <c r="H225" s="55">
        <v>0</v>
      </c>
      <c r="I225" s="55">
        <v>0.02</v>
      </c>
      <c r="J225" s="55">
        <v>0.02</v>
      </c>
      <c r="K225" s="55">
        <v>0.03</v>
      </c>
      <c r="L225" s="55">
        <v>0.03</v>
      </c>
    </row>
    <row r="226" spans="1:12">
      <c r="A226" s="55">
        <v>219</v>
      </c>
      <c r="B226" s="55" t="s">
        <v>605</v>
      </c>
      <c r="C226" s="55">
        <v>4</v>
      </c>
      <c r="D226" s="55">
        <v>1</v>
      </c>
      <c r="E226" s="55">
        <v>4</v>
      </c>
      <c r="F226" s="55">
        <v>1</v>
      </c>
      <c r="G226" s="55">
        <v>300</v>
      </c>
      <c r="H226" s="55">
        <v>300</v>
      </c>
      <c r="I226" s="55">
        <v>0.02</v>
      </c>
      <c r="J226" s="55">
        <v>0.02</v>
      </c>
      <c r="K226" s="55">
        <v>0.01</v>
      </c>
      <c r="L226" s="55">
        <v>0.01</v>
      </c>
    </row>
    <row r="227" spans="1:12">
      <c r="A227" s="55">
        <v>220</v>
      </c>
      <c r="B227" s="55" t="s">
        <v>1069</v>
      </c>
      <c r="C227" s="55">
        <v>4</v>
      </c>
      <c r="D227" s="55">
        <v>0</v>
      </c>
      <c r="E227" s="55">
        <v>4</v>
      </c>
      <c r="F227" s="55">
        <v>0</v>
      </c>
      <c r="G227" s="55">
        <v>0</v>
      </c>
      <c r="H227" s="55">
        <v>0</v>
      </c>
      <c r="I227" s="55">
        <v>0.02</v>
      </c>
      <c r="J227" s="55">
        <v>0.02</v>
      </c>
      <c r="K227" s="55">
        <v>0</v>
      </c>
      <c r="L227" s="55">
        <v>0</v>
      </c>
    </row>
    <row r="228" spans="1:12">
      <c r="A228" s="55">
        <v>221</v>
      </c>
      <c r="B228" s="55" t="s">
        <v>106</v>
      </c>
      <c r="C228" s="55">
        <v>4</v>
      </c>
      <c r="D228" s="55">
        <v>0</v>
      </c>
      <c r="E228" s="55">
        <v>4</v>
      </c>
      <c r="F228" s="55">
        <v>0</v>
      </c>
      <c r="G228" s="55">
        <v>0</v>
      </c>
      <c r="H228" s="55">
        <v>0</v>
      </c>
      <c r="I228" s="55">
        <v>0.02</v>
      </c>
      <c r="J228" s="55">
        <v>0.02</v>
      </c>
      <c r="K228" s="55">
        <v>0</v>
      </c>
      <c r="L228" s="55">
        <v>0</v>
      </c>
    </row>
    <row r="229" spans="1:12">
      <c r="A229" s="55">
        <v>222</v>
      </c>
      <c r="B229" s="55" t="s">
        <v>1059</v>
      </c>
      <c r="C229" s="55">
        <v>4</v>
      </c>
      <c r="D229" s="55">
        <v>0</v>
      </c>
      <c r="E229" s="55">
        <v>4</v>
      </c>
      <c r="F229" s="55">
        <v>0</v>
      </c>
      <c r="G229" s="55">
        <v>0</v>
      </c>
      <c r="H229" s="55">
        <v>0</v>
      </c>
      <c r="I229" s="55">
        <v>0.02</v>
      </c>
      <c r="J229" s="55">
        <v>0.02</v>
      </c>
      <c r="K229" s="55">
        <v>0</v>
      </c>
      <c r="L229" s="55">
        <v>0</v>
      </c>
    </row>
    <row r="230" spans="1:12">
      <c r="A230" s="55">
        <v>223</v>
      </c>
      <c r="B230" s="55" t="s">
        <v>558</v>
      </c>
      <c r="C230" s="55">
        <v>3</v>
      </c>
      <c r="D230" s="55">
        <v>14</v>
      </c>
      <c r="E230" s="55">
        <v>3</v>
      </c>
      <c r="F230" s="55">
        <v>14</v>
      </c>
      <c r="G230" s="55">
        <v>-78.569999999999993</v>
      </c>
      <c r="H230" s="55">
        <v>-78.569999999999993</v>
      </c>
      <c r="I230" s="55">
        <v>0.02</v>
      </c>
      <c r="J230" s="55">
        <v>0.02</v>
      </c>
      <c r="K230" s="55">
        <v>0.1</v>
      </c>
      <c r="L230" s="55">
        <v>0.1</v>
      </c>
    </row>
    <row r="231" spans="1:12">
      <c r="A231" s="55">
        <v>224</v>
      </c>
      <c r="B231" s="55" t="s">
        <v>944</v>
      </c>
      <c r="C231" s="55">
        <v>3</v>
      </c>
      <c r="D231" s="55">
        <v>10</v>
      </c>
      <c r="E231" s="55">
        <v>3</v>
      </c>
      <c r="F231" s="55">
        <v>10</v>
      </c>
      <c r="G231" s="55">
        <v>-70</v>
      </c>
      <c r="H231" s="55">
        <v>-70</v>
      </c>
      <c r="I231" s="55">
        <v>0.02</v>
      </c>
      <c r="J231" s="55">
        <v>0.02</v>
      </c>
      <c r="K231" s="55">
        <v>7.0000000000000007E-2</v>
      </c>
      <c r="L231" s="55">
        <v>7.0000000000000007E-2</v>
      </c>
    </row>
    <row r="232" spans="1:12">
      <c r="A232" s="55">
        <v>225</v>
      </c>
      <c r="B232" s="55" t="s">
        <v>163</v>
      </c>
      <c r="C232" s="55">
        <v>3</v>
      </c>
      <c r="D232" s="55">
        <v>4</v>
      </c>
      <c r="E232" s="55">
        <v>3</v>
      </c>
      <c r="F232" s="55">
        <v>4</v>
      </c>
      <c r="G232" s="55">
        <v>-25</v>
      </c>
      <c r="H232" s="55">
        <v>-25</v>
      </c>
      <c r="I232" s="55">
        <v>0.02</v>
      </c>
      <c r="J232" s="55">
        <v>0.02</v>
      </c>
      <c r="K232" s="55">
        <v>0.03</v>
      </c>
      <c r="L232" s="55">
        <v>0.03</v>
      </c>
    </row>
    <row r="233" spans="1:12">
      <c r="A233" s="55">
        <v>226</v>
      </c>
      <c r="B233" s="55" t="s">
        <v>648</v>
      </c>
      <c r="C233" s="55">
        <v>3</v>
      </c>
      <c r="D233" s="55">
        <v>2</v>
      </c>
      <c r="E233" s="55">
        <v>3</v>
      </c>
      <c r="F233" s="55">
        <v>2</v>
      </c>
      <c r="G233" s="55">
        <v>50</v>
      </c>
      <c r="H233" s="55">
        <v>50</v>
      </c>
      <c r="I233" s="55">
        <v>0.02</v>
      </c>
      <c r="J233" s="55">
        <v>0.02</v>
      </c>
      <c r="K233" s="55">
        <v>0.01</v>
      </c>
      <c r="L233" s="55">
        <v>0.01</v>
      </c>
    </row>
    <row r="234" spans="1:12">
      <c r="A234" s="55">
        <v>227</v>
      </c>
      <c r="B234" s="55" t="s">
        <v>137</v>
      </c>
      <c r="C234" s="55">
        <v>3</v>
      </c>
      <c r="D234" s="55">
        <v>2</v>
      </c>
      <c r="E234" s="55">
        <v>3</v>
      </c>
      <c r="F234" s="55">
        <v>2</v>
      </c>
      <c r="G234" s="55">
        <v>50</v>
      </c>
      <c r="H234" s="55">
        <v>50</v>
      </c>
      <c r="I234" s="55">
        <v>0.02</v>
      </c>
      <c r="J234" s="55">
        <v>0.02</v>
      </c>
      <c r="K234" s="55">
        <v>0.01</v>
      </c>
      <c r="L234" s="55">
        <v>0.01</v>
      </c>
    </row>
    <row r="235" spans="1:12">
      <c r="A235" s="55">
        <v>228</v>
      </c>
      <c r="B235" s="55" t="s">
        <v>147</v>
      </c>
      <c r="C235" s="55">
        <v>3</v>
      </c>
      <c r="D235" s="55">
        <v>1</v>
      </c>
      <c r="E235" s="55">
        <v>3</v>
      </c>
      <c r="F235" s="55">
        <v>1</v>
      </c>
      <c r="G235" s="55">
        <v>200</v>
      </c>
      <c r="H235" s="55">
        <v>200</v>
      </c>
      <c r="I235" s="55">
        <v>0.02</v>
      </c>
      <c r="J235" s="55">
        <v>0.02</v>
      </c>
      <c r="K235" s="55">
        <v>0.01</v>
      </c>
      <c r="L235" s="55">
        <v>0.01</v>
      </c>
    </row>
    <row r="236" spans="1:12">
      <c r="A236" s="55">
        <v>229</v>
      </c>
      <c r="B236" s="55" t="s">
        <v>206</v>
      </c>
      <c r="C236" s="55">
        <v>3</v>
      </c>
      <c r="D236" s="55">
        <v>1</v>
      </c>
      <c r="E236" s="55">
        <v>3</v>
      </c>
      <c r="F236" s="55">
        <v>1</v>
      </c>
      <c r="G236" s="55">
        <v>200</v>
      </c>
      <c r="H236" s="55">
        <v>200</v>
      </c>
      <c r="I236" s="55">
        <v>0.02</v>
      </c>
      <c r="J236" s="55">
        <v>0.02</v>
      </c>
      <c r="K236" s="55">
        <v>0.01</v>
      </c>
      <c r="L236" s="55">
        <v>0.01</v>
      </c>
    </row>
    <row r="237" spans="1:12">
      <c r="A237" s="55">
        <v>230</v>
      </c>
      <c r="B237" s="55" t="s">
        <v>1095</v>
      </c>
      <c r="C237" s="55">
        <v>3</v>
      </c>
      <c r="D237" s="55">
        <v>0</v>
      </c>
      <c r="E237" s="55">
        <v>3</v>
      </c>
      <c r="F237" s="55">
        <v>0</v>
      </c>
      <c r="G237" s="55">
        <v>0</v>
      </c>
      <c r="H237" s="55">
        <v>0</v>
      </c>
      <c r="I237" s="55">
        <v>0.02</v>
      </c>
      <c r="J237" s="55">
        <v>0.02</v>
      </c>
      <c r="K237" s="55">
        <v>0</v>
      </c>
      <c r="L237" s="55">
        <v>0</v>
      </c>
    </row>
    <row r="238" spans="1:12">
      <c r="A238" s="55">
        <v>231</v>
      </c>
      <c r="B238" s="55" t="s">
        <v>976</v>
      </c>
      <c r="C238" s="55">
        <v>2</v>
      </c>
      <c r="D238" s="55">
        <v>8</v>
      </c>
      <c r="E238" s="55">
        <v>2</v>
      </c>
      <c r="F238" s="55">
        <v>8</v>
      </c>
      <c r="G238" s="55">
        <v>-75</v>
      </c>
      <c r="H238" s="55">
        <v>-75</v>
      </c>
      <c r="I238" s="55">
        <v>0.01</v>
      </c>
      <c r="J238" s="55">
        <v>0.01</v>
      </c>
      <c r="K238" s="55">
        <v>0.05</v>
      </c>
      <c r="L238" s="55">
        <v>0.05</v>
      </c>
    </row>
    <row r="239" spans="1:12">
      <c r="A239" s="55">
        <v>232</v>
      </c>
      <c r="B239" s="55" t="s">
        <v>540</v>
      </c>
      <c r="C239" s="55">
        <v>2</v>
      </c>
      <c r="D239" s="55">
        <v>7</v>
      </c>
      <c r="E239" s="55">
        <v>2</v>
      </c>
      <c r="F239" s="55">
        <v>7</v>
      </c>
      <c r="G239" s="55">
        <v>-71.430000000000007</v>
      </c>
      <c r="H239" s="55">
        <v>-71.430000000000007</v>
      </c>
      <c r="I239" s="55">
        <v>0.01</v>
      </c>
      <c r="J239" s="55">
        <v>0.01</v>
      </c>
      <c r="K239" s="55">
        <v>0.05</v>
      </c>
      <c r="L239" s="55">
        <v>0.05</v>
      </c>
    </row>
    <row r="240" spans="1:12">
      <c r="A240" s="55">
        <v>233</v>
      </c>
      <c r="B240" s="55" t="s">
        <v>517</v>
      </c>
      <c r="C240" s="55">
        <v>2</v>
      </c>
      <c r="D240" s="55">
        <v>6</v>
      </c>
      <c r="E240" s="55">
        <v>2</v>
      </c>
      <c r="F240" s="55">
        <v>6</v>
      </c>
      <c r="G240" s="55">
        <v>-66.67</v>
      </c>
      <c r="H240" s="55">
        <v>-66.67</v>
      </c>
      <c r="I240" s="55">
        <v>0.01</v>
      </c>
      <c r="J240" s="55">
        <v>0.01</v>
      </c>
      <c r="K240" s="55">
        <v>0.04</v>
      </c>
      <c r="L240" s="55">
        <v>0.04</v>
      </c>
    </row>
    <row r="241" spans="1:12">
      <c r="A241" s="55">
        <v>234</v>
      </c>
      <c r="B241" s="55" t="s">
        <v>400</v>
      </c>
      <c r="C241" s="55">
        <v>2</v>
      </c>
      <c r="D241" s="55">
        <v>6</v>
      </c>
      <c r="E241" s="55">
        <v>2</v>
      </c>
      <c r="F241" s="55">
        <v>6</v>
      </c>
      <c r="G241" s="55">
        <v>-66.67</v>
      </c>
      <c r="H241" s="55">
        <v>-66.67</v>
      </c>
      <c r="I241" s="55">
        <v>0.01</v>
      </c>
      <c r="J241" s="55">
        <v>0.01</v>
      </c>
      <c r="K241" s="55">
        <v>0.04</v>
      </c>
      <c r="L241" s="55">
        <v>0.04</v>
      </c>
    </row>
    <row r="242" spans="1:12">
      <c r="A242" s="55">
        <v>235</v>
      </c>
      <c r="B242" s="55" t="s">
        <v>178</v>
      </c>
      <c r="C242" s="55">
        <v>2</v>
      </c>
      <c r="D242" s="55">
        <v>3</v>
      </c>
      <c r="E242" s="55">
        <v>2</v>
      </c>
      <c r="F242" s="55">
        <v>3</v>
      </c>
      <c r="G242" s="55">
        <v>-33.33</v>
      </c>
      <c r="H242" s="55">
        <v>-33.33</v>
      </c>
      <c r="I242" s="55">
        <v>0.01</v>
      </c>
      <c r="J242" s="55">
        <v>0.01</v>
      </c>
      <c r="K242" s="55">
        <v>0.02</v>
      </c>
      <c r="L242" s="55">
        <v>0.02</v>
      </c>
    </row>
    <row r="243" spans="1:12">
      <c r="A243" s="55">
        <v>236</v>
      </c>
      <c r="B243" s="55" t="s">
        <v>191</v>
      </c>
      <c r="C243" s="55">
        <v>2</v>
      </c>
      <c r="D243" s="55">
        <v>3</v>
      </c>
      <c r="E243" s="55">
        <v>2</v>
      </c>
      <c r="F243" s="55">
        <v>3</v>
      </c>
      <c r="G243" s="55">
        <v>-33.33</v>
      </c>
      <c r="H243" s="55">
        <v>-33.33</v>
      </c>
      <c r="I243" s="55">
        <v>0.01</v>
      </c>
      <c r="J243" s="55">
        <v>0.01</v>
      </c>
      <c r="K243" s="55">
        <v>0.02</v>
      </c>
      <c r="L243" s="55">
        <v>0.02</v>
      </c>
    </row>
    <row r="244" spans="1:12">
      <c r="A244" s="55">
        <v>237</v>
      </c>
      <c r="B244" s="55" t="s">
        <v>189</v>
      </c>
      <c r="C244" s="55">
        <v>2</v>
      </c>
      <c r="D244" s="55">
        <v>2</v>
      </c>
      <c r="E244" s="55">
        <v>2</v>
      </c>
      <c r="F244" s="55">
        <v>2</v>
      </c>
      <c r="G244" s="55">
        <v>0</v>
      </c>
      <c r="H244" s="55">
        <v>0</v>
      </c>
      <c r="I244" s="55">
        <v>0.01</v>
      </c>
      <c r="J244" s="55">
        <v>0.01</v>
      </c>
      <c r="K244" s="55">
        <v>0.01</v>
      </c>
      <c r="L244" s="55">
        <v>0.01</v>
      </c>
    </row>
    <row r="245" spans="1:12">
      <c r="A245" s="55">
        <v>238</v>
      </c>
      <c r="B245" s="55" t="s">
        <v>194</v>
      </c>
      <c r="C245" s="55">
        <v>2</v>
      </c>
      <c r="D245" s="55">
        <v>2</v>
      </c>
      <c r="E245" s="55">
        <v>2</v>
      </c>
      <c r="F245" s="55">
        <v>2</v>
      </c>
      <c r="G245" s="55">
        <v>0</v>
      </c>
      <c r="H245" s="55">
        <v>0</v>
      </c>
      <c r="I245" s="55">
        <v>0.01</v>
      </c>
      <c r="J245" s="55">
        <v>0.01</v>
      </c>
      <c r="K245" s="55">
        <v>0.01</v>
      </c>
      <c r="L245" s="55">
        <v>0.01</v>
      </c>
    </row>
    <row r="246" spans="1:12">
      <c r="A246" s="55">
        <v>239</v>
      </c>
      <c r="B246" s="55" t="s">
        <v>454</v>
      </c>
      <c r="C246" s="55">
        <v>2</v>
      </c>
      <c r="D246" s="55">
        <v>1</v>
      </c>
      <c r="E246" s="55">
        <v>2</v>
      </c>
      <c r="F246" s="55">
        <v>1</v>
      </c>
      <c r="G246" s="55">
        <v>100</v>
      </c>
      <c r="H246" s="55">
        <v>100</v>
      </c>
      <c r="I246" s="55">
        <v>0.01</v>
      </c>
      <c r="J246" s="55">
        <v>0.01</v>
      </c>
      <c r="K246" s="55">
        <v>0.01</v>
      </c>
      <c r="L246" s="55">
        <v>0.01</v>
      </c>
    </row>
    <row r="247" spans="1:12">
      <c r="A247" s="55">
        <v>240</v>
      </c>
      <c r="B247" s="55" t="s">
        <v>162</v>
      </c>
      <c r="C247" s="55">
        <v>2</v>
      </c>
      <c r="D247" s="55">
        <v>0</v>
      </c>
      <c r="E247" s="55">
        <v>2</v>
      </c>
      <c r="F247" s="55">
        <v>0</v>
      </c>
      <c r="G247" s="55">
        <v>0</v>
      </c>
      <c r="H247" s="55">
        <v>0</v>
      </c>
      <c r="I247" s="55">
        <v>0.01</v>
      </c>
      <c r="J247" s="55">
        <v>0.01</v>
      </c>
      <c r="K247" s="55">
        <v>0</v>
      </c>
      <c r="L247" s="55">
        <v>0</v>
      </c>
    </row>
    <row r="248" spans="1:12">
      <c r="A248" s="55">
        <v>241</v>
      </c>
      <c r="B248" s="55" t="s">
        <v>1088</v>
      </c>
      <c r="C248" s="55">
        <v>2</v>
      </c>
      <c r="D248" s="55">
        <v>0</v>
      </c>
      <c r="E248" s="55">
        <v>2</v>
      </c>
      <c r="F248" s="55">
        <v>0</v>
      </c>
      <c r="G248" s="55">
        <v>0</v>
      </c>
      <c r="H248" s="55">
        <v>0</v>
      </c>
      <c r="I248" s="55">
        <v>0.01</v>
      </c>
      <c r="J248" s="55">
        <v>0.01</v>
      </c>
      <c r="K248" s="55">
        <v>0</v>
      </c>
      <c r="L248" s="55">
        <v>0</v>
      </c>
    </row>
    <row r="249" spans="1:12">
      <c r="A249" s="55">
        <v>242</v>
      </c>
      <c r="B249" s="55" t="s">
        <v>994</v>
      </c>
      <c r="C249" s="55">
        <v>2</v>
      </c>
      <c r="D249" s="55">
        <v>0</v>
      </c>
      <c r="E249" s="55">
        <v>2</v>
      </c>
      <c r="F249" s="55">
        <v>0</v>
      </c>
      <c r="G249" s="55">
        <v>0</v>
      </c>
      <c r="H249" s="55">
        <v>0</v>
      </c>
      <c r="I249" s="55">
        <v>0.01</v>
      </c>
      <c r="J249" s="55">
        <v>0.01</v>
      </c>
      <c r="K249" s="55">
        <v>0</v>
      </c>
      <c r="L249" s="55">
        <v>0</v>
      </c>
    </row>
    <row r="250" spans="1:12">
      <c r="A250" s="55">
        <v>243</v>
      </c>
      <c r="B250" s="55" t="s">
        <v>204</v>
      </c>
      <c r="C250" s="55">
        <v>1</v>
      </c>
      <c r="D250" s="55">
        <v>12</v>
      </c>
      <c r="E250" s="55">
        <v>1</v>
      </c>
      <c r="F250" s="55">
        <v>12</v>
      </c>
      <c r="G250" s="55">
        <v>-91.67</v>
      </c>
      <c r="H250" s="55">
        <v>-91.67</v>
      </c>
      <c r="I250" s="55">
        <v>0.01</v>
      </c>
      <c r="J250" s="55">
        <v>0.01</v>
      </c>
      <c r="K250" s="55">
        <v>0.08</v>
      </c>
      <c r="L250" s="55">
        <v>0.08</v>
      </c>
    </row>
    <row r="251" spans="1:12">
      <c r="A251" s="55">
        <v>244</v>
      </c>
      <c r="B251" s="55" t="s">
        <v>153</v>
      </c>
      <c r="C251" s="55">
        <v>1</v>
      </c>
      <c r="D251" s="55">
        <v>12</v>
      </c>
      <c r="E251" s="55">
        <v>1</v>
      </c>
      <c r="F251" s="55">
        <v>12</v>
      </c>
      <c r="G251" s="55">
        <v>-91.67</v>
      </c>
      <c r="H251" s="55">
        <v>-91.67</v>
      </c>
      <c r="I251" s="55">
        <v>0.01</v>
      </c>
      <c r="J251" s="55">
        <v>0.01</v>
      </c>
      <c r="K251" s="55">
        <v>0.08</v>
      </c>
      <c r="L251" s="55">
        <v>0.08</v>
      </c>
    </row>
    <row r="252" spans="1:12">
      <c r="A252" s="55">
        <v>245</v>
      </c>
      <c r="B252" s="55" t="s">
        <v>638</v>
      </c>
      <c r="C252" s="55">
        <v>1</v>
      </c>
      <c r="D252" s="55">
        <v>12</v>
      </c>
      <c r="E252" s="55">
        <v>1</v>
      </c>
      <c r="F252" s="55">
        <v>12</v>
      </c>
      <c r="G252" s="55">
        <v>-91.67</v>
      </c>
      <c r="H252" s="55">
        <v>-91.67</v>
      </c>
      <c r="I252" s="55">
        <v>0.01</v>
      </c>
      <c r="J252" s="55">
        <v>0.01</v>
      </c>
      <c r="K252" s="55">
        <v>0.08</v>
      </c>
      <c r="L252" s="55">
        <v>0.08</v>
      </c>
    </row>
    <row r="253" spans="1:12">
      <c r="A253" s="55">
        <v>246</v>
      </c>
      <c r="B253" s="55" t="s">
        <v>368</v>
      </c>
      <c r="C253" s="55">
        <v>1</v>
      </c>
      <c r="D253" s="55">
        <v>8</v>
      </c>
      <c r="E253" s="55">
        <v>1</v>
      </c>
      <c r="F253" s="55">
        <v>8</v>
      </c>
      <c r="G253" s="55">
        <v>-87.5</v>
      </c>
      <c r="H253" s="55">
        <v>-87.5</v>
      </c>
      <c r="I253" s="55">
        <v>0.01</v>
      </c>
      <c r="J253" s="55">
        <v>0.01</v>
      </c>
      <c r="K253" s="55">
        <v>0.05</v>
      </c>
      <c r="L253" s="55">
        <v>0.05</v>
      </c>
    </row>
    <row r="254" spans="1:12">
      <c r="A254" s="55">
        <v>247</v>
      </c>
      <c r="B254" s="55" t="s">
        <v>141</v>
      </c>
      <c r="C254" s="55">
        <v>1</v>
      </c>
      <c r="D254" s="55">
        <v>6</v>
      </c>
      <c r="E254" s="55">
        <v>1</v>
      </c>
      <c r="F254" s="55">
        <v>6</v>
      </c>
      <c r="G254" s="55">
        <v>-83.33</v>
      </c>
      <c r="H254" s="55">
        <v>-83.33</v>
      </c>
      <c r="I254" s="55">
        <v>0.01</v>
      </c>
      <c r="J254" s="55">
        <v>0.01</v>
      </c>
      <c r="K254" s="55">
        <v>0.04</v>
      </c>
      <c r="L254" s="55">
        <v>0.04</v>
      </c>
    </row>
    <row r="255" spans="1:12">
      <c r="A255" s="55">
        <v>248</v>
      </c>
      <c r="B255" s="55" t="s">
        <v>645</v>
      </c>
      <c r="C255" s="55">
        <v>1</v>
      </c>
      <c r="D255" s="55">
        <v>5</v>
      </c>
      <c r="E255" s="55">
        <v>1</v>
      </c>
      <c r="F255" s="55">
        <v>5</v>
      </c>
      <c r="G255" s="55">
        <v>-80</v>
      </c>
      <c r="H255" s="55">
        <v>-80</v>
      </c>
      <c r="I255" s="55">
        <v>0.01</v>
      </c>
      <c r="J255" s="55">
        <v>0.01</v>
      </c>
      <c r="K255" s="55">
        <v>0.03</v>
      </c>
      <c r="L255" s="55">
        <v>0.03</v>
      </c>
    </row>
    <row r="256" spans="1:12">
      <c r="A256" s="55">
        <v>249</v>
      </c>
      <c r="B256" s="55" t="s">
        <v>627</v>
      </c>
      <c r="C256" s="55">
        <v>1</v>
      </c>
      <c r="D256" s="55">
        <v>4</v>
      </c>
      <c r="E256" s="55">
        <v>1</v>
      </c>
      <c r="F256" s="55">
        <v>4</v>
      </c>
      <c r="G256" s="55">
        <v>-75</v>
      </c>
      <c r="H256" s="55">
        <v>-75</v>
      </c>
      <c r="I256" s="55">
        <v>0.01</v>
      </c>
      <c r="J256" s="55">
        <v>0.01</v>
      </c>
      <c r="K256" s="55">
        <v>0.03</v>
      </c>
      <c r="L256" s="55">
        <v>0.03</v>
      </c>
    </row>
    <row r="257" spans="1:12">
      <c r="A257" s="55">
        <v>250</v>
      </c>
      <c r="B257" s="55" t="s">
        <v>165</v>
      </c>
      <c r="C257" s="55">
        <v>1</v>
      </c>
      <c r="D257" s="55">
        <v>4</v>
      </c>
      <c r="E257" s="55">
        <v>1</v>
      </c>
      <c r="F257" s="55">
        <v>4</v>
      </c>
      <c r="G257" s="55">
        <v>-75</v>
      </c>
      <c r="H257" s="55">
        <v>-75</v>
      </c>
      <c r="I257" s="55">
        <v>0.01</v>
      </c>
      <c r="J257" s="55">
        <v>0.01</v>
      </c>
      <c r="K257" s="55">
        <v>0.03</v>
      </c>
      <c r="L257" s="55">
        <v>0.03</v>
      </c>
    </row>
    <row r="258" spans="1:12">
      <c r="A258" s="55">
        <v>251</v>
      </c>
      <c r="B258" s="55" t="s">
        <v>127</v>
      </c>
      <c r="C258" s="55">
        <v>1</v>
      </c>
      <c r="D258" s="55">
        <v>3</v>
      </c>
      <c r="E258" s="55">
        <v>1</v>
      </c>
      <c r="F258" s="55">
        <v>3</v>
      </c>
      <c r="G258" s="55">
        <v>-66.67</v>
      </c>
      <c r="H258" s="55">
        <v>-66.67</v>
      </c>
      <c r="I258" s="55">
        <v>0.01</v>
      </c>
      <c r="J258" s="55">
        <v>0.01</v>
      </c>
      <c r="K258" s="55">
        <v>0.02</v>
      </c>
      <c r="L258" s="55">
        <v>0.02</v>
      </c>
    </row>
    <row r="259" spans="1:12">
      <c r="A259" s="55">
        <v>252</v>
      </c>
      <c r="B259" s="55" t="s">
        <v>1037</v>
      </c>
      <c r="C259" s="55">
        <v>1</v>
      </c>
      <c r="D259" s="55">
        <v>2</v>
      </c>
      <c r="E259" s="55">
        <v>1</v>
      </c>
      <c r="F259" s="55">
        <v>2</v>
      </c>
      <c r="G259" s="55">
        <v>-50</v>
      </c>
      <c r="H259" s="55">
        <v>-50</v>
      </c>
      <c r="I259" s="55">
        <v>0.01</v>
      </c>
      <c r="J259" s="55">
        <v>0.01</v>
      </c>
      <c r="K259" s="55">
        <v>0.01</v>
      </c>
      <c r="L259" s="55">
        <v>0.01</v>
      </c>
    </row>
    <row r="260" spans="1:12">
      <c r="A260" s="55">
        <v>253</v>
      </c>
      <c r="B260" s="55" t="s">
        <v>364</v>
      </c>
      <c r="C260" s="55">
        <v>1</v>
      </c>
      <c r="D260" s="55">
        <v>2</v>
      </c>
      <c r="E260" s="55">
        <v>1</v>
      </c>
      <c r="F260" s="55">
        <v>2</v>
      </c>
      <c r="G260" s="55">
        <v>-50</v>
      </c>
      <c r="H260" s="55">
        <v>-50</v>
      </c>
      <c r="I260" s="55">
        <v>0.01</v>
      </c>
      <c r="J260" s="55">
        <v>0.01</v>
      </c>
      <c r="K260" s="55">
        <v>0.01</v>
      </c>
      <c r="L260" s="55">
        <v>0.01</v>
      </c>
    </row>
    <row r="261" spans="1:12">
      <c r="A261" s="55">
        <v>254</v>
      </c>
      <c r="B261" s="55" t="s">
        <v>190</v>
      </c>
      <c r="C261" s="55">
        <v>1</v>
      </c>
      <c r="D261" s="55">
        <v>1</v>
      </c>
      <c r="E261" s="55">
        <v>1</v>
      </c>
      <c r="F261" s="55">
        <v>1</v>
      </c>
      <c r="G261" s="55">
        <v>0</v>
      </c>
      <c r="H261" s="55">
        <v>0</v>
      </c>
      <c r="I261" s="55">
        <v>0.01</v>
      </c>
      <c r="J261" s="55">
        <v>0.01</v>
      </c>
      <c r="K261" s="55">
        <v>0.01</v>
      </c>
      <c r="L261" s="55">
        <v>0.01</v>
      </c>
    </row>
    <row r="262" spans="1:12">
      <c r="A262" s="55">
        <v>255</v>
      </c>
      <c r="B262" s="55" t="s">
        <v>345</v>
      </c>
      <c r="C262" s="55">
        <v>1</v>
      </c>
      <c r="D262" s="55">
        <v>1</v>
      </c>
      <c r="E262" s="55">
        <v>1</v>
      </c>
      <c r="F262" s="55">
        <v>1</v>
      </c>
      <c r="G262" s="55">
        <v>0</v>
      </c>
      <c r="H262" s="55">
        <v>0</v>
      </c>
      <c r="I262" s="55">
        <v>0.01</v>
      </c>
      <c r="J262" s="55">
        <v>0.01</v>
      </c>
      <c r="K262" s="55">
        <v>0.01</v>
      </c>
      <c r="L262" s="55">
        <v>0.01</v>
      </c>
    </row>
    <row r="263" spans="1:12">
      <c r="A263" s="55">
        <v>256</v>
      </c>
      <c r="B263" s="55" t="s">
        <v>156</v>
      </c>
      <c r="C263" s="55">
        <v>1</v>
      </c>
      <c r="D263" s="55">
        <v>1</v>
      </c>
      <c r="E263" s="55">
        <v>1</v>
      </c>
      <c r="F263" s="55">
        <v>1</v>
      </c>
      <c r="G263" s="55">
        <v>0</v>
      </c>
      <c r="H263" s="55">
        <v>0</v>
      </c>
      <c r="I263" s="55">
        <v>0.01</v>
      </c>
      <c r="J263" s="55">
        <v>0.01</v>
      </c>
      <c r="K263" s="55">
        <v>0.01</v>
      </c>
      <c r="L263" s="55">
        <v>0.01</v>
      </c>
    </row>
    <row r="264" spans="1:12">
      <c r="A264" s="55">
        <v>257</v>
      </c>
      <c r="B264" s="55" t="s">
        <v>628</v>
      </c>
      <c r="C264" s="55">
        <v>1</v>
      </c>
      <c r="D264" s="55">
        <v>1</v>
      </c>
      <c r="E264" s="55">
        <v>1</v>
      </c>
      <c r="F264" s="55">
        <v>1</v>
      </c>
      <c r="G264" s="55">
        <v>0</v>
      </c>
      <c r="H264" s="55">
        <v>0</v>
      </c>
      <c r="I264" s="55">
        <v>0.01</v>
      </c>
      <c r="J264" s="55">
        <v>0.01</v>
      </c>
      <c r="K264" s="55">
        <v>0.01</v>
      </c>
      <c r="L264" s="55">
        <v>0.01</v>
      </c>
    </row>
    <row r="265" spans="1:12">
      <c r="A265" s="55">
        <v>258</v>
      </c>
      <c r="B265" s="55" t="s">
        <v>1021</v>
      </c>
      <c r="C265" s="55">
        <v>1</v>
      </c>
      <c r="D265" s="55">
        <v>0</v>
      </c>
      <c r="E265" s="55">
        <v>1</v>
      </c>
      <c r="F265" s="55">
        <v>0</v>
      </c>
      <c r="G265" s="55">
        <v>0</v>
      </c>
      <c r="H265" s="55">
        <v>0</v>
      </c>
      <c r="I265" s="55">
        <v>0.01</v>
      </c>
      <c r="J265" s="55">
        <v>0.01</v>
      </c>
      <c r="K265" s="55">
        <v>0</v>
      </c>
      <c r="L265" s="55">
        <v>0</v>
      </c>
    </row>
    <row r="266" spans="1:12">
      <c r="A266" s="55">
        <v>259</v>
      </c>
      <c r="B266" s="55" t="s">
        <v>346</v>
      </c>
      <c r="C266" s="55">
        <v>1</v>
      </c>
      <c r="D266" s="55">
        <v>0</v>
      </c>
      <c r="E266" s="55">
        <v>1</v>
      </c>
      <c r="F266" s="55">
        <v>0</v>
      </c>
      <c r="G266" s="55">
        <v>0</v>
      </c>
      <c r="H266" s="55">
        <v>0</v>
      </c>
      <c r="I266" s="55">
        <v>0.01</v>
      </c>
      <c r="J266" s="55">
        <v>0.01</v>
      </c>
      <c r="K266" s="55">
        <v>0</v>
      </c>
      <c r="L266" s="55">
        <v>0</v>
      </c>
    </row>
    <row r="267" spans="1:12">
      <c r="A267" s="55">
        <v>260</v>
      </c>
      <c r="B267" s="55" t="s">
        <v>997</v>
      </c>
      <c r="C267" s="55">
        <v>1</v>
      </c>
      <c r="D267" s="55">
        <v>0</v>
      </c>
      <c r="E267" s="55">
        <v>1</v>
      </c>
      <c r="F267" s="55">
        <v>0</v>
      </c>
      <c r="G267" s="62">
        <v>0</v>
      </c>
      <c r="H267" s="62">
        <v>0</v>
      </c>
      <c r="I267" s="55">
        <v>0.01</v>
      </c>
      <c r="J267" s="55">
        <v>0.01</v>
      </c>
      <c r="K267" s="55">
        <v>0</v>
      </c>
      <c r="L267" s="55">
        <v>0</v>
      </c>
    </row>
    <row r="268" spans="1:12">
      <c r="A268" s="55">
        <v>261</v>
      </c>
      <c r="B268" s="55" t="s">
        <v>1070</v>
      </c>
      <c r="C268" s="55">
        <v>1</v>
      </c>
      <c r="D268" s="55">
        <v>0</v>
      </c>
      <c r="E268" s="55">
        <v>1</v>
      </c>
      <c r="F268" s="55">
        <v>0</v>
      </c>
      <c r="G268" s="55">
        <v>0</v>
      </c>
      <c r="H268" s="55">
        <v>0</v>
      </c>
      <c r="I268" s="55">
        <v>0.01</v>
      </c>
      <c r="J268" s="55">
        <v>0.01</v>
      </c>
      <c r="K268" s="55">
        <v>0</v>
      </c>
      <c r="L268" s="55">
        <v>0</v>
      </c>
    </row>
    <row r="269" spans="1:12">
      <c r="A269" s="55">
        <v>262</v>
      </c>
      <c r="B269" s="55" t="s">
        <v>1094</v>
      </c>
      <c r="C269" s="55">
        <v>1</v>
      </c>
      <c r="D269" s="55">
        <v>0</v>
      </c>
      <c r="E269" s="55">
        <v>1</v>
      </c>
      <c r="F269" s="55">
        <v>0</v>
      </c>
      <c r="G269" s="55">
        <v>0</v>
      </c>
      <c r="H269" s="55">
        <v>0</v>
      </c>
      <c r="I269" s="55">
        <v>0.01</v>
      </c>
      <c r="J269" s="55">
        <v>0.01</v>
      </c>
      <c r="K269" s="55">
        <v>0</v>
      </c>
      <c r="L269" s="55">
        <v>0</v>
      </c>
    </row>
    <row r="270" spans="1:12">
      <c r="A270" s="55">
        <v>263</v>
      </c>
      <c r="B270" s="55" t="s">
        <v>514</v>
      </c>
      <c r="C270" s="55">
        <v>1</v>
      </c>
      <c r="D270" s="55">
        <v>0</v>
      </c>
      <c r="E270" s="55">
        <v>1</v>
      </c>
      <c r="F270" s="55">
        <v>0</v>
      </c>
      <c r="G270" s="55">
        <v>0</v>
      </c>
      <c r="H270" s="55">
        <v>0</v>
      </c>
      <c r="I270" s="55">
        <v>0.01</v>
      </c>
      <c r="J270" s="55">
        <v>0.01</v>
      </c>
      <c r="K270" s="55">
        <v>0</v>
      </c>
      <c r="L270" s="55">
        <v>0</v>
      </c>
    </row>
    <row r="271" spans="1:12">
      <c r="A271" s="55">
        <v>264</v>
      </c>
      <c r="B271" s="55" t="s">
        <v>513</v>
      </c>
      <c r="C271" s="55">
        <v>1</v>
      </c>
      <c r="D271" s="55">
        <v>0</v>
      </c>
      <c r="E271" s="55">
        <v>1</v>
      </c>
      <c r="F271" s="55">
        <v>0</v>
      </c>
      <c r="G271" s="55">
        <v>0</v>
      </c>
      <c r="H271" s="55">
        <v>0</v>
      </c>
      <c r="I271" s="55">
        <v>0.01</v>
      </c>
      <c r="J271" s="55">
        <v>0.01</v>
      </c>
      <c r="K271" s="55">
        <v>0</v>
      </c>
      <c r="L271" s="55">
        <v>0</v>
      </c>
    </row>
    <row r="272" spans="1:12">
      <c r="A272" s="55">
        <v>265</v>
      </c>
      <c r="B272" s="55" t="s">
        <v>993</v>
      </c>
      <c r="C272" s="55">
        <v>1</v>
      </c>
      <c r="D272" s="55">
        <v>0</v>
      </c>
      <c r="E272" s="55">
        <v>1</v>
      </c>
      <c r="F272" s="55">
        <v>0</v>
      </c>
      <c r="G272" s="55">
        <v>0</v>
      </c>
      <c r="H272" s="55">
        <v>0</v>
      </c>
      <c r="I272" s="55">
        <v>0.01</v>
      </c>
      <c r="J272" s="55">
        <v>0.01</v>
      </c>
      <c r="K272" s="55">
        <v>0</v>
      </c>
      <c r="L272" s="55">
        <v>0</v>
      </c>
    </row>
    <row r="273" spans="1:12">
      <c r="A273" s="55">
        <v>266</v>
      </c>
      <c r="B273" s="55" t="s">
        <v>1012</v>
      </c>
      <c r="C273" s="55">
        <v>1</v>
      </c>
      <c r="D273" s="55">
        <v>0</v>
      </c>
      <c r="E273" s="55">
        <v>1</v>
      </c>
      <c r="F273" s="55">
        <v>0</v>
      </c>
      <c r="G273" s="55">
        <v>0</v>
      </c>
      <c r="H273" s="55">
        <v>0</v>
      </c>
      <c r="I273" s="55">
        <v>0.01</v>
      </c>
      <c r="J273" s="55">
        <v>0.01</v>
      </c>
      <c r="K273" s="55">
        <v>0</v>
      </c>
      <c r="L273" s="55">
        <v>0</v>
      </c>
    </row>
    <row r="274" spans="1:12">
      <c r="A274" s="55">
        <v>267</v>
      </c>
      <c r="B274" s="55" t="s">
        <v>1090</v>
      </c>
      <c r="C274" s="55">
        <v>1</v>
      </c>
      <c r="D274" s="55">
        <v>0</v>
      </c>
      <c r="E274" s="55">
        <v>1</v>
      </c>
      <c r="F274" s="55">
        <v>0</v>
      </c>
      <c r="G274" s="62">
        <v>0</v>
      </c>
      <c r="H274" s="55">
        <v>0</v>
      </c>
      <c r="I274" s="55">
        <v>0.01</v>
      </c>
      <c r="J274" s="55">
        <v>0.01</v>
      </c>
      <c r="K274" s="55">
        <v>0</v>
      </c>
      <c r="L274" s="55">
        <v>0</v>
      </c>
    </row>
    <row r="275" spans="1:12">
      <c r="A275" s="55">
        <v>268</v>
      </c>
      <c r="B275" s="55" t="s">
        <v>177</v>
      </c>
      <c r="C275" s="22">
        <v>0</v>
      </c>
      <c r="D275" s="22">
        <v>26</v>
      </c>
      <c r="E275" s="22">
        <v>0</v>
      </c>
      <c r="F275" s="22">
        <v>26</v>
      </c>
      <c r="G275" s="62">
        <v>-100</v>
      </c>
      <c r="H275" s="62">
        <v>-100</v>
      </c>
      <c r="I275" s="55">
        <v>0</v>
      </c>
      <c r="J275" s="55">
        <v>0</v>
      </c>
      <c r="K275" s="55">
        <v>0.18</v>
      </c>
      <c r="L275" s="55">
        <v>0.18</v>
      </c>
    </row>
    <row r="276" spans="1:12">
      <c r="A276" s="55">
        <v>269</v>
      </c>
      <c r="B276" s="55" t="s">
        <v>79</v>
      </c>
      <c r="C276" s="22">
        <v>0</v>
      </c>
      <c r="D276" s="55">
        <v>24</v>
      </c>
      <c r="E276" s="22">
        <v>0</v>
      </c>
      <c r="F276" s="55">
        <v>24</v>
      </c>
      <c r="G276" s="55">
        <v>-100</v>
      </c>
      <c r="H276" s="55">
        <v>-100</v>
      </c>
      <c r="I276" s="55">
        <v>0</v>
      </c>
      <c r="J276" s="55">
        <v>0</v>
      </c>
      <c r="K276" s="55">
        <v>0.16</v>
      </c>
      <c r="L276" s="55">
        <v>0.16</v>
      </c>
    </row>
    <row r="277" spans="1:12">
      <c r="A277" s="55">
        <v>270</v>
      </c>
      <c r="B277" s="55" t="s">
        <v>105</v>
      </c>
      <c r="C277" s="55">
        <v>0</v>
      </c>
      <c r="D277" s="55">
        <v>21</v>
      </c>
      <c r="E277" s="55">
        <v>0</v>
      </c>
      <c r="F277" s="55">
        <v>21</v>
      </c>
      <c r="G277" s="55">
        <v>-100</v>
      </c>
      <c r="H277" s="55">
        <v>-100</v>
      </c>
      <c r="I277" s="55">
        <v>0</v>
      </c>
      <c r="J277" s="55">
        <v>0</v>
      </c>
      <c r="K277" s="55">
        <v>0.14000000000000001</v>
      </c>
      <c r="L277" s="55">
        <v>0.14000000000000001</v>
      </c>
    </row>
    <row r="278" spans="1:12">
      <c r="A278" s="55">
        <v>271</v>
      </c>
      <c r="B278" s="55" t="s">
        <v>395</v>
      </c>
      <c r="C278" s="55">
        <v>0</v>
      </c>
      <c r="D278" s="55">
        <v>17</v>
      </c>
      <c r="E278" s="55">
        <v>0</v>
      </c>
      <c r="F278" s="55">
        <v>17</v>
      </c>
      <c r="G278" s="55">
        <v>-100</v>
      </c>
      <c r="H278" s="55">
        <v>-100</v>
      </c>
      <c r="I278" s="55">
        <v>0</v>
      </c>
      <c r="J278" s="55">
        <v>0</v>
      </c>
      <c r="K278" s="55">
        <v>0.12</v>
      </c>
      <c r="L278" s="55">
        <v>0.12</v>
      </c>
    </row>
    <row r="279" spans="1:12">
      <c r="A279" s="55">
        <v>272</v>
      </c>
      <c r="B279" s="55" t="s">
        <v>120</v>
      </c>
      <c r="C279" s="55">
        <v>0</v>
      </c>
      <c r="D279" s="55">
        <v>14</v>
      </c>
      <c r="E279" s="55">
        <v>0</v>
      </c>
      <c r="F279" s="55">
        <v>14</v>
      </c>
      <c r="G279" s="55">
        <v>-100</v>
      </c>
      <c r="H279" s="55">
        <v>-100</v>
      </c>
      <c r="I279" s="55">
        <v>0</v>
      </c>
      <c r="J279" s="55">
        <v>0</v>
      </c>
      <c r="K279" s="55">
        <v>0.1</v>
      </c>
      <c r="L279" s="55">
        <v>0.1</v>
      </c>
    </row>
    <row r="280" spans="1:12">
      <c r="A280" s="55">
        <v>273</v>
      </c>
      <c r="B280" s="55" t="s">
        <v>581</v>
      </c>
      <c r="C280" s="55">
        <v>0</v>
      </c>
      <c r="D280" s="55">
        <v>12</v>
      </c>
      <c r="E280" s="55">
        <v>0</v>
      </c>
      <c r="F280" s="55">
        <v>12</v>
      </c>
      <c r="G280" s="55">
        <v>-100</v>
      </c>
      <c r="H280" s="55">
        <v>-100</v>
      </c>
      <c r="I280" s="55">
        <v>0</v>
      </c>
      <c r="J280" s="55">
        <v>0</v>
      </c>
      <c r="K280" s="55">
        <v>0.08</v>
      </c>
      <c r="L280" s="55">
        <v>0.08</v>
      </c>
    </row>
    <row r="281" spans="1:12">
      <c r="A281" s="55">
        <v>274</v>
      </c>
      <c r="B281" s="55" t="s">
        <v>350</v>
      </c>
      <c r="C281" s="55">
        <v>0</v>
      </c>
      <c r="D281" s="55">
        <v>11</v>
      </c>
      <c r="E281" s="55">
        <v>0</v>
      </c>
      <c r="F281" s="55">
        <v>11</v>
      </c>
      <c r="G281" s="55">
        <v>-100</v>
      </c>
      <c r="H281" s="55">
        <v>-100</v>
      </c>
      <c r="I281" s="55">
        <v>0</v>
      </c>
      <c r="J281" s="55">
        <v>0</v>
      </c>
      <c r="K281" s="55">
        <v>0.08</v>
      </c>
      <c r="L281" s="55">
        <v>0.08</v>
      </c>
    </row>
    <row r="282" spans="1:12">
      <c r="A282" s="55">
        <v>275</v>
      </c>
      <c r="B282" s="55" t="s">
        <v>91</v>
      </c>
      <c r="C282" s="55">
        <v>0</v>
      </c>
      <c r="D282" s="55">
        <v>9</v>
      </c>
      <c r="E282" s="55">
        <v>0</v>
      </c>
      <c r="F282" s="55">
        <v>9</v>
      </c>
      <c r="G282" s="55">
        <v>-100</v>
      </c>
      <c r="H282" s="55">
        <v>-100</v>
      </c>
      <c r="I282" s="55">
        <v>0</v>
      </c>
      <c r="J282" s="55">
        <v>0</v>
      </c>
      <c r="K282" s="55">
        <v>0.06</v>
      </c>
      <c r="L282" s="55">
        <v>0.06</v>
      </c>
    </row>
    <row r="283" spans="1:12">
      <c r="A283" s="55">
        <v>276</v>
      </c>
      <c r="B283" s="55" t="s">
        <v>170</v>
      </c>
      <c r="C283" s="55">
        <v>0</v>
      </c>
      <c r="D283" s="55">
        <v>8</v>
      </c>
      <c r="E283" s="55">
        <v>0</v>
      </c>
      <c r="F283" s="55">
        <v>8</v>
      </c>
      <c r="G283" s="55">
        <v>-100</v>
      </c>
      <c r="H283" s="55">
        <v>-100</v>
      </c>
      <c r="I283" s="55">
        <v>0</v>
      </c>
      <c r="J283" s="55">
        <v>0</v>
      </c>
      <c r="K283" s="55">
        <v>0.05</v>
      </c>
      <c r="L283" s="55">
        <v>0.05</v>
      </c>
    </row>
    <row r="284" spans="1:12">
      <c r="A284" s="55">
        <v>277</v>
      </c>
      <c r="B284" s="55" t="s">
        <v>99</v>
      </c>
      <c r="C284" s="55">
        <v>0</v>
      </c>
      <c r="D284" s="55">
        <v>8</v>
      </c>
      <c r="E284" s="55">
        <v>0</v>
      </c>
      <c r="F284" s="55">
        <v>8</v>
      </c>
      <c r="G284" s="55">
        <v>-100</v>
      </c>
      <c r="H284" s="55">
        <v>-100</v>
      </c>
      <c r="I284" s="55">
        <v>0</v>
      </c>
      <c r="J284" s="55">
        <v>0</v>
      </c>
      <c r="K284" s="55">
        <v>0.05</v>
      </c>
      <c r="L284" s="55">
        <v>0.05</v>
      </c>
    </row>
    <row r="285" spans="1:12">
      <c r="A285" s="55">
        <v>278</v>
      </c>
      <c r="B285" s="55" t="s">
        <v>185</v>
      </c>
      <c r="C285" s="55">
        <v>0</v>
      </c>
      <c r="D285" s="55">
        <v>6</v>
      </c>
      <c r="E285" s="55">
        <v>0</v>
      </c>
      <c r="F285" s="55">
        <v>6</v>
      </c>
      <c r="G285" s="62">
        <v>-100</v>
      </c>
      <c r="H285" s="62">
        <v>-100</v>
      </c>
      <c r="I285" s="55">
        <v>0</v>
      </c>
      <c r="J285" s="55">
        <v>0</v>
      </c>
      <c r="K285" s="55">
        <v>0.04</v>
      </c>
      <c r="L285" s="55">
        <v>0.04</v>
      </c>
    </row>
    <row r="286" spans="1:12">
      <c r="A286" s="55">
        <v>279</v>
      </c>
      <c r="B286" s="55" t="s">
        <v>644</v>
      </c>
      <c r="C286" s="55">
        <v>0</v>
      </c>
      <c r="D286" s="55">
        <v>6</v>
      </c>
      <c r="E286" s="55">
        <v>0</v>
      </c>
      <c r="F286" s="55">
        <v>6</v>
      </c>
      <c r="G286" s="55">
        <v>-100</v>
      </c>
      <c r="H286" s="55">
        <v>-100</v>
      </c>
      <c r="I286" s="55">
        <v>0</v>
      </c>
      <c r="J286" s="55">
        <v>0</v>
      </c>
      <c r="K286" s="55">
        <v>0.04</v>
      </c>
      <c r="L286" s="55">
        <v>0.04</v>
      </c>
    </row>
    <row r="287" spans="1:12">
      <c r="A287" s="55">
        <v>280</v>
      </c>
      <c r="B287" s="55" t="s">
        <v>199</v>
      </c>
      <c r="C287" s="55">
        <v>0</v>
      </c>
      <c r="D287" s="55">
        <v>4</v>
      </c>
      <c r="E287" s="55">
        <v>0</v>
      </c>
      <c r="F287" s="55">
        <v>4</v>
      </c>
      <c r="G287" s="55">
        <v>-100</v>
      </c>
      <c r="H287" s="55">
        <v>-100</v>
      </c>
      <c r="I287" s="55">
        <v>0</v>
      </c>
      <c r="J287" s="55">
        <v>0</v>
      </c>
      <c r="K287" s="55">
        <v>0.03</v>
      </c>
      <c r="L287" s="55">
        <v>0.03</v>
      </c>
    </row>
    <row r="288" spans="1:12">
      <c r="A288" s="55">
        <v>281</v>
      </c>
      <c r="B288" s="55" t="s">
        <v>198</v>
      </c>
      <c r="C288" s="55">
        <v>0</v>
      </c>
      <c r="D288" s="55">
        <v>4</v>
      </c>
      <c r="E288" s="55">
        <v>0</v>
      </c>
      <c r="F288" s="55">
        <v>4</v>
      </c>
      <c r="G288" s="55">
        <v>-100</v>
      </c>
      <c r="H288" s="55">
        <v>-100</v>
      </c>
      <c r="I288" s="55">
        <v>0</v>
      </c>
      <c r="J288" s="55">
        <v>0</v>
      </c>
      <c r="K288" s="55">
        <v>0.03</v>
      </c>
      <c r="L288" s="55">
        <v>0.03</v>
      </c>
    </row>
    <row r="289" spans="1:12">
      <c r="A289" s="55">
        <v>282</v>
      </c>
      <c r="B289" s="55" t="s">
        <v>556</v>
      </c>
      <c r="C289" s="55">
        <v>0</v>
      </c>
      <c r="D289" s="55">
        <v>4</v>
      </c>
      <c r="E289" s="55">
        <v>0</v>
      </c>
      <c r="F289" s="55">
        <v>4</v>
      </c>
      <c r="G289" s="55">
        <v>-100</v>
      </c>
      <c r="H289" s="55">
        <v>-100</v>
      </c>
      <c r="I289" s="55">
        <v>0</v>
      </c>
      <c r="J289" s="55">
        <v>0</v>
      </c>
      <c r="K289" s="55">
        <v>0.03</v>
      </c>
      <c r="L289" s="55">
        <v>0.03</v>
      </c>
    </row>
    <row r="290" spans="1:12">
      <c r="A290" s="55">
        <v>283</v>
      </c>
      <c r="B290" s="55" t="s">
        <v>930</v>
      </c>
      <c r="C290" s="55">
        <v>0</v>
      </c>
      <c r="D290" s="55">
        <v>3</v>
      </c>
      <c r="E290" s="55">
        <v>0</v>
      </c>
      <c r="F290" s="55">
        <v>3</v>
      </c>
      <c r="G290" s="55">
        <v>-100</v>
      </c>
      <c r="H290" s="55">
        <v>-100</v>
      </c>
      <c r="I290" s="55">
        <v>0</v>
      </c>
      <c r="J290" s="55">
        <v>0</v>
      </c>
      <c r="K290" s="55">
        <v>0.02</v>
      </c>
      <c r="L290" s="55">
        <v>0.02</v>
      </c>
    </row>
    <row r="291" spans="1:12">
      <c r="A291" s="55">
        <v>284</v>
      </c>
      <c r="B291" s="55" t="s">
        <v>904</v>
      </c>
      <c r="C291" s="55">
        <v>0</v>
      </c>
      <c r="D291" s="55">
        <v>3</v>
      </c>
      <c r="E291" s="55">
        <v>0</v>
      </c>
      <c r="F291" s="55">
        <v>3</v>
      </c>
      <c r="G291" s="55">
        <v>-100</v>
      </c>
      <c r="H291" s="55">
        <v>-100</v>
      </c>
      <c r="I291" s="55">
        <v>0</v>
      </c>
      <c r="J291" s="55">
        <v>0</v>
      </c>
      <c r="K291" s="55">
        <v>0.02</v>
      </c>
      <c r="L291" s="55">
        <v>0.02</v>
      </c>
    </row>
    <row r="292" spans="1:12">
      <c r="A292" s="55">
        <v>285</v>
      </c>
      <c r="B292" s="55" t="s">
        <v>609</v>
      </c>
      <c r="C292" s="55">
        <v>0</v>
      </c>
      <c r="D292" s="55">
        <v>2</v>
      </c>
      <c r="E292" s="55">
        <v>0</v>
      </c>
      <c r="F292" s="55">
        <v>2</v>
      </c>
      <c r="G292" s="55">
        <v>-100</v>
      </c>
      <c r="H292" s="55">
        <v>-100</v>
      </c>
      <c r="I292" s="55">
        <v>0</v>
      </c>
      <c r="J292" s="55">
        <v>0</v>
      </c>
      <c r="K292" s="55">
        <v>0.01</v>
      </c>
      <c r="L292" s="55">
        <v>0.01</v>
      </c>
    </row>
    <row r="293" spans="1:12">
      <c r="A293" s="55">
        <v>286</v>
      </c>
      <c r="B293" s="55" t="s">
        <v>174</v>
      </c>
      <c r="C293" s="55">
        <v>0</v>
      </c>
      <c r="D293" s="55">
        <v>2</v>
      </c>
      <c r="E293" s="55">
        <v>0</v>
      </c>
      <c r="F293" s="55">
        <v>2</v>
      </c>
      <c r="G293" s="55">
        <v>-100</v>
      </c>
      <c r="H293" s="55">
        <v>-100</v>
      </c>
      <c r="I293" s="55">
        <v>0</v>
      </c>
      <c r="J293" s="55">
        <v>0</v>
      </c>
      <c r="K293" s="55">
        <v>0.01</v>
      </c>
      <c r="L293" s="55">
        <v>0.01</v>
      </c>
    </row>
    <row r="294" spans="1:12">
      <c r="A294" s="55">
        <v>287</v>
      </c>
      <c r="B294" s="55" t="s">
        <v>453</v>
      </c>
      <c r="C294" s="55">
        <v>0</v>
      </c>
      <c r="D294" s="55">
        <v>2</v>
      </c>
      <c r="E294" s="55">
        <v>0</v>
      </c>
      <c r="F294" s="55">
        <v>2</v>
      </c>
      <c r="G294" s="55">
        <v>-100</v>
      </c>
      <c r="H294" s="55">
        <v>-100</v>
      </c>
      <c r="I294" s="55">
        <v>0</v>
      </c>
      <c r="J294" s="55">
        <v>0</v>
      </c>
      <c r="K294" s="55">
        <v>0.01</v>
      </c>
      <c r="L294" s="55">
        <v>0.01</v>
      </c>
    </row>
    <row r="295" spans="1:12">
      <c r="A295" s="55">
        <v>288</v>
      </c>
      <c r="B295" s="55" t="s">
        <v>358</v>
      </c>
      <c r="C295" s="55">
        <v>0</v>
      </c>
      <c r="D295" s="55">
        <v>2</v>
      </c>
      <c r="E295" s="55">
        <v>0</v>
      </c>
      <c r="F295" s="55">
        <v>2</v>
      </c>
      <c r="G295" s="55">
        <v>-100</v>
      </c>
      <c r="H295" s="55">
        <v>-100</v>
      </c>
      <c r="I295" s="55">
        <v>0</v>
      </c>
      <c r="J295" s="55">
        <v>0</v>
      </c>
      <c r="K295" s="55">
        <v>0.01</v>
      </c>
      <c r="L295" s="55">
        <v>0.01</v>
      </c>
    </row>
    <row r="296" spans="1:12">
      <c r="A296" s="55">
        <v>289</v>
      </c>
      <c r="B296" s="55" t="s">
        <v>188</v>
      </c>
      <c r="C296" s="55">
        <v>0</v>
      </c>
      <c r="D296" s="55">
        <v>2</v>
      </c>
      <c r="E296" s="55">
        <v>0</v>
      </c>
      <c r="F296" s="55">
        <v>2</v>
      </c>
      <c r="G296" s="55">
        <v>-100</v>
      </c>
      <c r="H296" s="55">
        <v>-100</v>
      </c>
      <c r="I296" s="55">
        <v>0</v>
      </c>
      <c r="J296" s="55">
        <v>0</v>
      </c>
      <c r="K296" s="55">
        <v>0.01</v>
      </c>
      <c r="L296" s="55">
        <v>0.01</v>
      </c>
    </row>
    <row r="297" spans="1:12">
      <c r="A297" s="55">
        <v>290</v>
      </c>
      <c r="B297" s="55" t="s">
        <v>200</v>
      </c>
      <c r="C297" s="55">
        <v>0</v>
      </c>
      <c r="D297" s="55">
        <v>2</v>
      </c>
      <c r="E297" s="55">
        <v>0</v>
      </c>
      <c r="F297" s="55">
        <v>2</v>
      </c>
      <c r="G297" s="55">
        <v>-100</v>
      </c>
      <c r="H297" s="55">
        <v>-100</v>
      </c>
      <c r="I297" s="55">
        <v>0</v>
      </c>
      <c r="J297" s="55">
        <v>0</v>
      </c>
      <c r="K297" s="55">
        <v>0.01</v>
      </c>
      <c r="L297" s="55">
        <v>0.01</v>
      </c>
    </row>
    <row r="298" spans="1:12">
      <c r="A298" s="55">
        <v>291</v>
      </c>
      <c r="B298" s="55" t="s">
        <v>452</v>
      </c>
      <c r="C298" s="55">
        <v>0</v>
      </c>
      <c r="D298" s="55">
        <v>1</v>
      </c>
      <c r="E298" s="55">
        <v>0</v>
      </c>
      <c r="F298" s="55">
        <v>1</v>
      </c>
      <c r="G298" s="55">
        <v>-100</v>
      </c>
      <c r="H298" s="55">
        <v>-100</v>
      </c>
      <c r="I298" s="55">
        <v>0</v>
      </c>
      <c r="J298" s="55">
        <v>0</v>
      </c>
      <c r="K298" s="55">
        <v>0.01</v>
      </c>
      <c r="L298" s="55">
        <v>0.01</v>
      </c>
    </row>
    <row r="299" spans="1:12">
      <c r="A299" s="55">
        <v>292</v>
      </c>
      <c r="B299" s="55" t="s">
        <v>1038</v>
      </c>
      <c r="C299" s="55">
        <v>0</v>
      </c>
      <c r="D299" s="55">
        <v>1</v>
      </c>
      <c r="E299" s="55">
        <v>0</v>
      </c>
      <c r="F299" s="55">
        <v>1</v>
      </c>
      <c r="G299" s="55">
        <v>-100</v>
      </c>
      <c r="H299" s="55">
        <v>-100</v>
      </c>
      <c r="I299" s="55">
        <v>0</v>
      </c>
      <c r="J299" s="55">
        <v>0</v>
      </c>
      <c r="K299" s="55">
        <v>0.01</v>
      </c>
      <c r="L299" s="55">
        <v>0.01</v>
      </c>
    </row>
    <row r="300" spans="1:12">
      <c r="A300" s="134">
        <v>293</v>
      </c>
      <c r="B300" s="134" t="s">
        <v>344</v>
      </c>
      <c r="C300" s="134">
        <v>0</v>
      </c>
      <c r="D300" s="134">
        <v>1</v>
      </c>
      <c r="E300" s="134">
        <v>0</v>
      </c>
      <c r="F300" s="134">
        <v>1</v>
      </c>
      <c r="G300" s="134">
        <v>-100</v>
      </c>
      <c r="H300" s="134">
        <v>-100</v>
      </c>
      <c r="I300" s="134">
        <v>0</v>
      </c>
      <c r="J300" s="134">
        <v>0</v>
      </c>
      <c r="K300" s="134">
        <v>0.01</v>
      </c>
      <c r="L300" s="134">
        <v>0.01</v>
      </c>
    </row>
    <row r="301" spans="1:12">
      <c r="A301" s="134">
        <v>294</v>
      </c>
      <c r="B301" s="134" t="s">
        <v>201</v>
      </c>
      <c r="C301" s="134">
        <v>0</v>
      </c>
      <c r="D301" s="134">
        <v>1</v>
      </c>
      <c r="E301" s="134">
        <v>0</v>
      </c>
      <c r="F301" s="134">
        <v>1</v>
      </c>
      <c r="G301" s="134">
        <v>-100</v>
      </c>
      <c r="H301" s="134">
        <v>-100</v>
      </c>
      <c r="I301" s="134">
        <v>0</v>
      </c>
      <c r="J301" s="134">
        <v>0</v>
      </c>
      <c r="K301" s="134">
        <v>0.01</v>
      </c>
      <c r="L301" s="134">
        <v>0.01</v>
      </c>
    </row>
    <row r="302" spans="1:12">
      <c r="A302" s="134">
        <v>295</v>
      </c>
      <c r="B302" s="134" t="s">
        <v>1036</v>
      </c>
      <c r="C302" s="134">
        <v>0</v>
      </c>
      <c r="D302" s="134">
        <v>1</v>
      </c>
      <c r="E302" s="134">
        <v>0</v>
      </c>
      <c r="F302" s="134">
        <v>1</v>
      </c>
      <c r="G302" s="136">
        <v>-100</v>
      </c>
      <c r="H302" s="136">
        <v>-100</v>
      </c>
      <c r="I302" s="134">
        <v>0</v>
      </c>
      <c r="J302" s="134">
        <v>0</v>
      </c>
      <c r="K302" s="134">
        <v>0.01</v>
      </c>
      <c r="L302" s="134">
        <v>0.01</v>
      </c>
    </row>
    <row r="303" spans="1:12">
      <c r="A303" s="134">
        <v>296</v>
      </c>
      <c r="B303" s="134" t="s">
        <v>207</v>
      </c>
      <c r="C303" s="134">
        <v>0</v>
      </c>
      <c r="D303" s="134">
        <v>1</v>
      </c>
      <c r="E303" s="134">
        <v>0</v>
      </c>
      <c r="F303" s="134">
        <v>1</v>
      </c>
      <c r="G303" s="134">
        <v>-100</v>
      </c>
      <c r="H303" s="134">
        <v>-100</v>
      </c>
      <c r="I303" s="134">
        <v>0</v>
      </c>
      <c r="J303" s="134">
        <v>0</v>
      </c>
      <c r="K303" s="134">
        <v>0.01</v>
      </c>
      <c r="L303" s="134">
        <v>0.01</v>
      </c>
    </row>
    <row r="304" spans="1:12">
      <c r="A304" s="134">
        <v>297</v>
      </c>
      <c r="B304" s="134" t="s">
        <v>104</v>
      </c>
      <c r="C304" s="134">
        <v>0</v>
      </c>
      <c r="D304" s="134">
        <v>1</v>
      </c>
      <c r="E304" s="134">
        <v>0</v>
      </c>
      <c r="F304" s="134">
        <v>1</v>
      </c>
      <c r="G304" s="134">
        <v>-100</v>
      </c>
      <c r="H304" s="134">
        <v>-100</v>
      </c>
      <c r="I304" s="134">
        <v>0</v>
      </c>
      <c r="J304" s="134">
        <v>0</v>
      </c>
      <c r="K304" s="134">
        <v>0.01</v>
      </c>
      <c r="L304" s="134">
        <v>0.01</v>
      </c>
    </row>
    <row r="305" spans="1:12">
      <c r="A305" s="134">
        <v>298</v>
      </c>
      <c r="B305" s="134" t="s">
        <v>610</v>
      </c>
      <c r="C305" s="134">
        <v>0</v>
      </c>
      <c r="D305" s="134">
        <v>1</v>
      </c>
      <c r="E305" s="134">
        <v>0</v>
      </c>
      <c r="F305" s="134">
        <v>1</v>
      </c>
      <c r="G305" s="134">
        <v>-100</v>
      </c>
      <c r="H305" s="134">
        <v>-100</v>
      </c>
      <c r="I305" s="134">
        <v>0</v>
      </c>
      <c r="J305" s="134">
        <v>0</v>
      </c>
      <c r="K305" s="134">
        <v>0.01</v>
      </c>
      <c r="L305" s="134">
        <v>0.01</v>
      </c>
    </row>
    <row r="306" spans="1:12">
      <c r="A306" s="134">
        <v>299</v>
      </c>
      <c r="B306" s="134" t="s">
        <v>979</v>
      </c>
      <c r="C306" s="134">
        <v>0</v>
      </c>
      <c r="D306" s="134">
        <v>1</v>
      </c>
      <c r="E306" s="134">
        <v>0</v>
      </c>
      <c r="F306" s="134">
        <v>1</v>
      </c>
      <c r="G306" s="134">
        <v>-100</v>
      </c>
      <c r="H306" s="134">
        <v>-100</v>
      </c>
      <c r="I306" s="134">
        <v>0</v>
      </c>
      <c r="J306" s="134">
        <v>0</v>
      </c>
      <c r="K306" s="134">
        <v>0.01</v>
      </c>
      <c r="L306" s="134">
        <v>0.01</v>
      </c>
    </row>
    <row r="307" spans="1:12">
      <c r="A307" s="134">
        <v>300</v>
      </c>
      <c r="B307" s="134" t="s">
        <v>608</v>
      </c>
      <c r="C307" s="134">
        <v>0</v>
      </c>
      <c r="D307" s="134">
        <v>1</v>
      </c>
      <c r="E307" s="134">
        <v>0</v>
      </c>
      <c r="F307" s="134">
        <v>1</v>
      </c>
      <c r="G307" s="134">
        <v>-100</v>
      </c>
      <c r="H307" s="134">
        <v>-100</v>
      </c>
      <c r="I307" s="134">
        <v>0</v>
      </c>
      <c r="J307" s="134">
        <v>0</v>
      </c>
      <c r="K307" s="134">
        <v>0.01</v>
      </c>
      <c r="L307" s="134">
        <v>0.01</v>
      </c>
    </row>
    <row r="308" spans="1:12">
      <c r="A308" s="134">
        <v>301</v>
      </c>
      <c r="B308" s="134" t="s">
        <v>383</v>
      </c>
      <c r="C308" s="134">
        <v>0</v>
      </c>
      <c r="D308" s="134">
        <v>1</v>
      </c>
      <c r="E308" s="134">
        <v>0</v>
      </c>
      <c r="F308" s="134">
        <v>1</v>
      </c>
      <c r="G308" s="134">
        <v>-100</v>
      </c>
      <c r="H308" s="134">
        <v>-100</v>
      </c>
      <c r="I308" s="134">
        <v>0</v>
      </c>
      <c r="J308" s="134">
        <v>0</v>
      </c>
      <c r="K308" s="134">
        <v>0.01</v>
      </c>
      <c r="L308" s="134">
        <v>0.01</v>
      </c>
    </row>
    <row r="309" spans="1:12">
      <c r="A309" s="134">
        <v>302</v>
      </c>
      <c r="B309" s="134" t="s">
        <v>407</v>
      </c>
      <c r="C309" s="134">
        <v>0</v>
      </c>
      <c r="D309" s="134">
        <v>1</v>
      </c>
      <c r="E309" s="134">
        <v>0</v>
      </c>
      <c r="F309" s="134">
        <v>1</v>
      </c>
      <c r="G309" s="134">
        <v>-100</v>
      </c>
      <c r="H309" s="134">
        <v>-100</v>
      </c>
      <c r="I309" s="134">
        <v>0</v>
      </c>
      <c r="J309" s="134">
        <v>0</v>
      </c>
      <c r="K309" s="134">
        <v>0.01</v>
      </c>
      <c r="L309" s="134">
        <v>0.01</v>
      </c>
    </row>
    <row r="310" spans="1:12">
      <c r="A310" s="134">
        <v>303</v>
      </c>
      <c r="B310" s="134" t="s">
        <v>205</v>
      </c>
      <c r="C310" s="134">
        <v>0</v>
      </c>
      <c r="D310" s="134">
        <v>1</v>
      </c>
      <c r="E310" s="134">
        <v>0</v>
      </c>
      <c r="F310" s="134">
        <v>1</v>
      </c>
      <c r="G310" s="134">
        <v>-100</v>
      </c>
      <c r="H310" s="134">
        <v>-100</v>
      </c>
      <c r="I310" s="134">
        <v>0</v>
      </c>
      <c r="J310" s="134">
        <v>0</v>
      </c>
      <c r="K310" s="134">
        <v>0.01</v>
      </c>
      <c r="L310" s="134">
        <v>0.01</v>
      </c>
    </row>
    <row r="311" spans="1:12">
      <c r="A311" s="134">
        <v>304</v>
      </c>
      <c r="B311" s="134" t="s">
        <v>195</v>
      </c>
      <c r="C311" s="134">
        <v>136</v>
      </c>
      <c r="D311" s="134">
        <v>6</v>
      </c>
      <c r="E311" s="134">
        <v>136</v>
      </c>
      <c r="F311" s="134">
        <v>6</v>
      </c>
      <c r="G311" s="134">
        <v>2166.67</v>
      </c>
      <c r="H311" s="134">
        <v>2166.67</v>
      </c>
      <c r="I311" s="134">
        <v>0.79</v>
      </c>
      <c r="J311" s="134">
        <v>0.79</v>
      </c>
      <c r="K311" s="134">
        <v>0.04</v>
      </c>
      <c r="L311" s="134">
        <v>0.04</v>
      </c>
    </row>
    <row r="312" spans="1:12">
      <c r="A312" s="134"/>
      <c r="B312" s="135" t="s">
        <v>425</v>
      </c>
      <c r="C312" s="134">
        <f>SUBTOTAL(109,getAggModelsPB[antalPerioden])</f>
        <v>17164</v>
      </c>
      <c r="D312" s="134">
        <f>SUBTOTAL(109,getAggModelsPB[antalFGPeriod])</f>
        <v>14601</v>
      </c>
      <c r="E312" s="134">
        <f>SUBTOTAL(109,getAggModelsPB[antalÅret])</f>
        <v>17164</v>
      </c>
      <c r="F312" s="134">
        <f>SUBTOTAL(109,getAggModelsPB[antalFGAr])</f>
        <v>14601</v>
      </c>
      <c r="G312" s="136">
        <f>IF(getAggModelsPB[[#Totals],[antalFGPeriod]] &gt; 0,(getAggModelsPB[[#Totals],[antalPerioden]] - getAggModelsPB[[#Totals],[antalFGPeriod]] ) / getAggModelsPB[[#Totals],[antalFGPeriod]] * 100,0)</f>
        <v>17.553592219710978</v>
      </c>
      <c r="H312" s="136">
        <f>IF(getAggModelsPB[[#Totals],[antalFGAr]] &gt; 0,(getAggModelsPB[[#Totals],[antalÅret]] - getAggModelsPB[[#Totals],[antalFGAr]]) / getAggModelsPB[[#Totals],[antalFGAr]] * 100,0)</f>
        <v>17.553592219710978</v>
      </c>
      <c r="I312" s="137" t="str">
        <f>TEXT(100,"0,00")</f>
        <v>100,00</v>
      </c>
      <c r="J312" s="137" t="str">
        <f>TEXT(100,"0,00")</f>
        <v>100,00</v>
      </c>
      <c r="K312" s="137" t="str">
        <f>TEXT(100,"0,00")</f>
        <v>100,00</v>
      </c>
      <c r="L312" s="137" t="str">
        <f>TEXT(100,"0,00")</f>
        <v>100,00</v>
      </c>
    </row>
    <row r="313" spans="1:12">
      <c r="A313" s="134"/>
      <c r="B313" s="135"/>
      <c r="C313" s="134"/>
      <c r="D313" s="134"/>
      <c r="E313" s="134"/>
      <c r="F313" s="134"/>
      <c r="G313" s="136"/>
      <c r="H313" s="136"/>
      <c r="I313" s="137"/>
      <c r="J313" s="137"/>
      <c r="K313" s="137"/>
      <c r="L313" s="137"/>
    </row>
    <row r="314" spans="1:12">
      <c r="A314" s="134"/>
      <c r="B314" s="134"/>
      <c r="C314" s="134"/>
      <c r="D314" s="134"/>
      <c r="E314" s="134"/>
      <c r="F314" s="134"/>
      <c r="G314" s="134"/>
      <c r="H314" s="134"/>
      <c r="I314" s="134"/>
      <c r="J314" s="134"/>
      <c r="K314" s="134"/>
      <c r="L314" s="134"/>
    </row>
    <row r="315" spans="1:12" s="10" customFormat="1" ht="16">
      <c r="A315" s="134"/>
      <c r="B315" s="134"/>
      <c r="C315" s="134"/>
      <c r="D315" s="134"/>
      <c r="E315" s="134"/>
      <c r="F315" s="134"/>
      <c r="G315" s="134"/>
      <c r="H315" s="134"/>
      <c r="I315" s="134"/>
      <c r="J315" s="134"/>
      <c r="K315" s="134"/>
      <c r="L315" s="134"/>
    </row>
    <row r="316" spans="1:12">
      <c r="A316" s="134"/>
      <c r="B316" s="134"/>
      <c r="C316" s="134"/>
      <c r="D316" s="134"/>
      <c r="E316" s="134"/>
      <c r="F316" s="134"/>
      <c r="G316" s="134"/>
      <c r="H316" s="134"/>
      <c r="I316" s="134"/>
      <c r="J316" s="134"/>
      <c r="K316" s="134"/>
      <c r="L316" s="134"/>
    </row>
    <row r="317" spans="1:12">
      <c r="A317" s="134"/>
      <c r="B317" s="134"/>
      <c r="C317" s="134"/>
      <c r="D317" s="134"/>
      <c r="E317" s="134"/>
      <c r="F317" s="134"/>
      <c r="G317" s="134"/>
      <c r="H317" s="134"/>
      <c r="I317" s="134"/>
      <c r="J317" s="134"/>
      <c r="K317" s="134"/>
      <c r="L317" s="134"/>
    </row>
    <row r="318" spans="1:12">
      <c r="A318" s="134"/>
      <c r="B318" s="134"/>
      <c r="C318" s="134"/>
      <c r="D318" s="134"/>
      <c r="E318" s="134"/>
      <c r="F318" s="134"/>
      <c r="G318" s="134"/>
      <c r="H318" s="134"/>
      <c r="I318" s="134"/>
      <c r="J318" s="134"/>
      <c r="K318" s="134"/>
      <c r="L318" s="134"/>
    </row>
    <row r="319" spans="1:12">
      <c r="A319" s="134"/>
      <c r="B319" s="134"/>
      <c r="C319" s="134"/>
      <c r="D319" s="134"/>
      <c r="E319" s="134"/>
      <c r="F319" s="134"/>
      <c r="G319" s="134"/>
      <c r="H319" s="134"/>
      <c r="I319" s="134"/>
      <c r="J319" s="134"/>
      <c r="K319" s="134"/>
      <c r="L319" s="134"/>
    </row>
    <row r="320" spans="1:12">
      <c r="A320" s="134"/>
      <c r="B320" s="134"/>
      <c r="C320" s="134"/>
      <c r="D320" s="134"/>
      <c r="E320" s="134"/>
      <c r="F320" s="134"/>
      <c r="G320" s="134"/>
      <c r="H320" s="134"/>
      <c r="I320" s="134"/>
      <c r="J320" s="134"/>
      <c r="K320" s="134"/>
      <c r="L320" s="134"/>
    </row>
    <row r="321" spans="1:12">
      <c r="A321" s="134"/>
      <c r="B321" s="134"/>
      <c r="C321" s="134"/>
      <c r="D321" s="134"/>
      <c r="E321" s="134"/>
      <c r="F321" s="134"/>
      <c r="G321" s="134"/>
      <c r="H321" s="134"/>
      <c r="I321" s="134"/>
      <c r="J321" s="134"/>
      <c r="K321" s="134"/>
      <c r="L321" s="134"/>
    </row>
    <row r="322" spans="1:12">
      <c r="A322" s="134"/>
      <c r="B322" s="134"/>
      <c r="C322" s="134"/>
      <c r="D322" s="134"/>
      <c r="E322" s="134"/>
      <c r="F322" s="134"/>
      <c r="G322" s="134"/>
      <c r="H322" s="134"/>
      <c r="I322" s="134"/>
      <c r="J322" s="134"/>
      <c r="K322" s="134"/>
      <c r="L322" s="134"/>
    </row>
    <row r="323" spans="1:12">
      <c r="A323" s="134"/>
      <c r="B323" s="134"/>
      <c r="C323" s="134"/>
      <c r="D323" s="134"/>
      <c r="E323" s="134"/>
      <c r="F323" s="134"/>
      <c r="G323" s="134"/>
      <c r="H323" s="134"/>
      <c r="I323" s="134"/>
      <c r="J323" s="134"/>
      <c r="K323" s="134"/>
      <c r="L323" s="134"/>
    </row>
    <row r="324" spans="1:12">
      <c r="A324" s="134"/>
      <c r="B324" s="134"/>
      <c r="C324" s="134"/>
      <c r="D324" s="134"/>
      <c r="E324" s="134"/>
      <c r="F324" s="134"/>
      <c r="G324" s="134"/>
      <c r="H324" s="134"/>
      <c r="I324" s="134"/>
      <c r="J324" s="134"/>
      <c r="K324" s="134"/>
      <c r="L324" s="134"/>
    </row>
    <row r="325" spans="1:12">
      <c r="A325" s="134"/>
      <c r="B325" s="134"/>
      <c r="C325" s="134"/>
      <c r="D325" s="134"/>
      <c r="E325" s="134"/>
      <c r="F325" s="134"/>
      <c r="G325" s="134"/>
      <c r="H325" s="134"/>
      <c r="I325" s="134"/>
      <c r="J325" s="134"/>
      <c r="K325" s="134"/>
      <c r="L325" s="134"/>
    </row>
    <row r="326" spans="1:12">
      <c r="A326" s="134"/>
      <c r="B326" s="134"/>
      <c r="C326" s="134"/>
      <c r="D326" s="134"/>
      <c r="E326" s="134"/>
      <c r="F326" s="134"/>
      <c r="G326" s="134"/>
      <c r="H326" s="134"/>
      <c r="I326" s="134"/>
      <c r="J326" s="134"/>
      <c r="K326" s="134"/>
      <c r="L326" s="134"/>
    </row>
    <row r="327" spans="1:12">
      <c r="A327" s="134"/>
      <c r="B327" s="134"/>
      <c r="C327" s="134"/>
      <c r="D327" s="134"/>
      <c r="E327" s="134"/>
      <c r="F327" s="134"/>
      <c r="G327" s="134"/>
      <c r="H327" s="134"/>
      <c r="I327" s="134"/>
      <c r="J327" s="134"/>
      <c r="K327" s="134"/>
      <c r="L327" s="134"/>
    </row>
    <row r="328" spans="1:12">
      <c r="A328" s="134"/>
      <c r="B328" s="134"/>
      <c r="C328" s="134"/>
      <c r="D328" s="134"/>
      <c r="E328" s="134"/>
      <c r="F328" s="134"/>
      <c r="G328" s="134"/>
      <c r="H328" s="134"/>
      <c r="I328" s="134"/>
      <c r="J328" s="134"/>
      <c r="K328" s="134"/>
      <c r="L328" s="134"/>
    </row>
    <row r="329" spans="1:12">
      <c r="A329" s="134"/>
      <c r="B329" s="134"/>
      <c r="C329" s="134"/>
      <c r="D329" s="134"/>
      <c r="E329" s="134"/>
      <c r="F329" s="134"/>
      <c r="G329" s="134"/>
      <c r="H329" s="134"/>
      <c r="I329" s="134"/>
      <c r="J329" s="134"/>
      <c r="K329" s="134"/>
      <c r="L329" s="134"/>
    </row>
    <row r="330" spans="1:12">
      <c r="A330" s="134"/>
      <c r="B330" s="134"/>
      <c r="C330" s="134"/>
      <c r="D330" s="134"/>
      <c r="E330" s="134"/>
      <c r="F330" s="134"/>
      <c r="G330" s="134"/>
      <c r="H330" s="134"/>
      <c r="I330" s="134"/>
      <c r="J330" s="134"/>
      <c r="K330" s="134"/>
      <c r="L330" s="134"/>
    </row>
    <row r="331" spans="1:12">
      <c r="A331" s="134"/>
      <c r="B331" s="134"/>
      <c r="C331" s="134"/>
      <c r="D331" s="134"/>
      <c r="E331" s="134"/>
      <c r="F331" s="134"/>
      <c r="G331" s="134"/>
      <c r="H331" s="134"/>
      <c r="I331" s="134"/>
      <c r="J331" s="134"/>
      <c r="K331" s="134"/>
      <c r="L331" s="134"/>
    </row>
    <row r="332" spans="1:12">
      <c r="A332" s="134"/>
      <c r="B332" s="134"/>
      <c r="C332" s="134"/>
      <c r="D332" s="134"/>
      <c r="E332" s="134"/>
      <c r="F332" s="134"/>
      <c r="G332" s="134"/>
      <c r="H332" s="134"/>
      <c r="I332" s="134"/>
      <c r="J332" s="134"/>
      <c r="K332" s="134"/>
      <c r="L332" s="134"/>
    </row>
    <row r="333" spans="1:12">
      <c r="A333" s="134"/>
      <c r="B333" s="134"/>
      <c r="C333" s="134"/>
      <c r="D333" s="134"/>
      <c r="E333" s="134"/>
      <c r="F333" s="134"/>
      <c r="G333" s="134"/>
      <c r="H333" s="134"/>
      <c r="I333" s="134"/>
      <c r="J333" s="134"/>
      <c r="K333" s="134"/>
      <c r="L333" s="134"/>
    </row>
    <row r="334" spans="1:12">
      <c r="A334" s="134"/>
      <c r="B334" s="134"/>
      <c r="C334" s="134"/>
      <c r="D334" s="134"/>
      <c r="E334" s="134"/>
      <c r="F334" s="134"/>
      <c r="G334" s="134"/>
      <c r="H334" s="134"/>
      <c r="I334" s="134"/>
      <c r="J334" s="134"/>
      <c r="K334" s="134"/>
      <c r="L334" s="134"/>
    </row>
    <row r="335" spans="1:12">
      <c r="A335" s="134"/>
      <c r="B335" s="134"/>
      <c r="C335" s="134"/>
      <c r="D335" s="134"/>
      <c r="E335" s="134"/>
      <c r="F335" s="134"/>
      <c r="G335" s="134"/>
      <c r="H335" s="134"/>
      <c r="I335" s="134"/>
      <c r="J335" s="134"/>
      <c r="K335" s="134"/>
      <c r="L335" s="134"/>
    </row>
    <row r="336" spans="1:12">
      <c r="A336" s="134"/>
      <c r="B336" s="134"/>
      <c r="C336" s="134"/>
      <c r="D336" s="134"/>
      <c r="E336" s="134"/>
      <c r="F336" s="134"/>
      <c r="G336" s="134"/>
      <c r="H336" s="134"/>
      <c r="I336" s="134"/>
      <c r="J336" s="134"/>
      <c r="K336" s="134"/>
      <c r="L336" s="134"/>
    </row>
    <row r="337" spans="1:12">
      <c r="A337" s="134"/>
      <c r="B337" s="134"/>
      <c r="C337" s="134"/>
      <c r="D337" s="134"/>
      <c r="E337" s="134"/>
      <c r="F337" s="134"/>
      <c r="G337" s="134"/>
      <c r="H337" s="134"/>
      <c r="I337" s="134"/>
      <c r="J337" s="134"/>
      <c r="K337" s="134"/>
      <c r="L337" s="134"/>
    </row>
    <row r="338" spans="1:12">
      <c r="A338" s="134"/>
      <c r="B338" s="134"/>
      <c r="C338" s="134"/>
      <c r="D338" s="134"/>
      <c r="E338" s="134"/>
      <c r="F338" s="134"/>
      <c r="G338" s="134"/>
      <c r="H338" s="134"/>
      <c r="I338" s="134"/>
      <c r="J338" s="134"/>
      <c r="K338" s="134"/>
      <c r="L338" s="134"/>
    </row>
    <row r="339" spans="1:12">
      <c r="A339" s="134"/>
      <c r="B339" s="134"/>
      <c r="C339" s="134"/>
      <c r="D339" s="134"/>
      <c r="E339" s="134"/>
      <c r="F339" s="134"/>
      <c r="G339" s="134"/>
      <c r="H339" s="134"/>
      <c r="I339" s="134"/>
      <c r="J339" s="134"/>
      <c r="K339" s="134"/>
      <c r="L339" s="134"/>
    </row>
    <row r="340" spans="1:12">
      <c r="A340" s="134"/>
      <c r="B340" s="134"/>
      <c r="C340" s="134"/>
      <c r="D340" s="134"/>
      <c r="E340" s="134"/>
      <c r="F340" s="134"/>
      <c r="G340" s="134"/>
      <c r="H340" s="134"/>
      <c r="I340" s="134"/>
      <c r="J340" s="134"/>
      <c r="K340" s="134"/>
      <c r="L340" s="134"/>
    </row>
    <row r="341" spans="1:12">
      <c r="A341" s="134"/>
      <c r="B341" s="134"/>
      <c r="C341" s="134"/>
      <c r="D341" s="134"/>
      <c r="E341" s="134"/>
      <c r="F341" s="134"/>
      <c r="G341" s="134"/>
      <c r="H341" s="134"/>
      <c r="I341" s="134"/>
      <c r="J341" s="134"/>
      <c r="K341" s="134"/>
      <c r="L341" s="134"/>
    </row>
    <row r="342" spans="1:12">
      <c r="A342" s="134"/>
      <c r="B342" s="134"/>
      <c r="C342" s="134"/>
      <c r="D342" s="134"/>
      <c r="E342" s="134"/>
      <c r="F342" s="134"/>
      <c r="G342" s="134"/>
      <c r="H342" s="134"/>
      <c r="I342" s="134"/>
      <c r="J342" s="134"/>
      <c r="K342" s="134"/>
      <c r="L342" s="134"/>
    </row>
    <row r="343" spans="1:12">
      <c r="A343" s="134"/>
      <c r="B343" s="134"/>
      <c r="C343" s="134"/>
      <c r="D343" s="134"/>
      <c r="E343" s="134"/>
      <c r="F343" s="134"/>
      <c r="G343" s="134"/>
      <c r="H343" s="134"/>
      <c r="I343" s="134"/>
      <c r="J343" s="134"/>
      <c r="K343" s="134"/>
      <c r="L343" s="134"/>
    </row>
    <row r="344" spans="1:12">
      <c r="A344" s="134"/>
      <c r="B344" s="134"/>
      <c r="C344" s="134"/>
      <c r="D344" s="134"/>
      <c r="E344" s="134"/>
      <c r="F344" s="134"/>
      <c r="G344" s="134"/>
      <c r="H344" s="134"/>
      <c r="I344" s="134"/>
      <c r="J344" s="134"/>
      <c r="K344" s="134"/>
      <c r="L344" s="134"/>
    </row>
    <row r="345" spans="1:12">
      <c r="A345" s="134"/>
      <c r="B345" s="134"/>
      <c r="C345" s="134"/>
      <c r="D345" s="134"/>
      <c r="E345" s="134"/>
      <c r="F345" s="134"/>
      <c r="G345" s="134"/>
      <c r="H345" s="134"/>
      <c r="I345" s="134"/>
      <c r="J345" s="134"/>
      <c r="K345" s="134"/>
      <c r="L345" s="134"/>
    </row>
    <row r="346" spans="1:12">
      <c r="A346" s="134"/>
      <c r="B346" s="134"/>
      <c r="C346" s="134"/>
      <c r="D346" s="134"/>
      <c r="E346" s="134"/>
      <c r="F346" s="134"/>
      <c r="G346" s="134"/>
      <c r="H346" s="134"/>
      <c r="I346" s="134"/>
      <c r="J346" s="134"/>
      <c r="K346" s="134"/>
      <c r="L346" s="134"/>
    </row>
    <row r="347" spans="1:12">
      <c r="A347" s="134"/>
      <c r="B347" s="134"/>
      <c r="C347" s="134"/>
      <c r="D347" s="134"/>
      <c r="E347" s="134"/>
      <c r="F347" s="134"/>
      <c r="G347" s="134"/>
      <c r="H347" s="134"/>
      <c r="I347" s="134"/>
      <c r="J347" s="134"/>
      <c r="K347" s="134"/>
      <c r="L347" s="134"/>
    </row>
    <row r="348" spans="1:12">
      <c r="A348" s="134"/>
      <c r="B348" s="134"/>
      <c r="C348" s="134"/>
      <c r="D348" s="134"/>
      <c r="E348" s="134"/>
      <c r="F348" s="134"/>
      <c r="G348" s="134"/>
      <c r="H348" s="134"/>
      <c r="I348" s="134"/>
      <c r="J348" s="134"/>
      <c r="K348" s="134"/>
      <c r="L348" s="134"/>
    </row>
    <row r="349" spans="1:12">
      <c r="A349" s="134"/>
      <c r="B349" s="134"/>
      <c r="C349" s="134"/>
      <c r="D349" s="134"/>
      <c r="E349" s="134"/>
      <c r="F349" s="134"/>
      <c r="G349" s="134"/>
      <c r="H349" s="134"/>
      <c r="I349" s="134"/>
      <c r="J349" s="134"/>
      <c r="K349" s="134"/>
      <c r="L349" s="134"/>
    </row>
    <row r="350" spans="1:12">
      <c r="A350" s="134"/>
      <c r="B350" s="134"/>
      <c r="C350" s="134"/>
      <c r="D350" s="134"/>
      <c r="E350" s="134"/>
      <c r="F350" s="134"/>
      <c r="G350" s="134"/>
      <c r="H350" s="134"/>
      <c r="I350" s="134"/>
      <c r="J350" s="134"/>
      <c r="K350" s="134"/>
      <c r="L350" s="134"/>
    </row>
    <row r="351" spans="1:12">
      <c r="A351" s="134"/>
      <c r="B351" s="134"/>
      <c r="C351" s="134"/>
      <c r="D351" s="134"/>
      <c r="E351" s="134"/>
      <c r="F351" s="134"/>
      <c r="G351" s="134"/>
      <c r="H351" s="134"/>
      <c r="I351" s="134"/>
      <c r="J351" s="134"/>
      <c r="K351" s="134"/>
      <c r="L351" s="134"/>
    </row>
    <row r="352" spans="1:12">
      <c r="A352" s="134"/>
      <c r="B352" s="134"/>
      <c r="C352" s="134"/>
      <c r="D352" s="134"/>
      <c r="E352" s="134"/>
      <c r="F352" s="134"/>
      <c r="G352" s="134"/>
      <c r="H352" s="134"/>
      <c r="I352" s="134"/>
      <c r="J352" s="134"/>
      <c r="K352" s="134"/>
      <c r="L352" s="134"/>
    </row>
    <row r="353" spans="1:12">
      <c r="A353" s="134"/>
      <c r="B353" s="134"/>
      <c r="C353" s="134"/>
      <c r="D353" s="134"/>
      <c r="E353" s="134"/>
      <c r="F353" s="134"/>
      <c r="G353" s="134"/>
      <c r="H353" s="134"/>
      <c r="I353" s="134"/>
      <c r="J353" s="134"/>
      <c r="K353" s="134"/>
      <c r="L353" s="134"/>
    </row>
    <row r="354" spans="1:12">
      <c r="A354" s="134"/>
      <c r="B354" s="134"/>
      <c r="C354" s="134"/>
      <c r="D354" s="134"/>
      <c r="E354" s="134"/>
      <c r="F354" s="134"/>
      <c r="G354" s="134"/>
      <c r="H354" s="134"/>
      <c r="I354" s="134"/>
      <c r="J354" s="134"/>
      <c r="K354" s="134"/>
      <c r="L354" s="134"/>
    </row>
    <row r="355" spans="1:12">
      <c r="A355" s="134"/>
      <c r="B355" s="134"/>
      <c r="C355" s="134"/>
      <c r="D355" s="134"/>
      <c r="E355" s="134"/>
      <c r="F355" s="134"/>
      <c r="G355" s="134"/>
      <c r="H355" s="134"/>
      <c r="I355" s="134"/>
      <c r="J355" s="134"/>
      <c r="K355" s="134"/>
      <c r="L355" s="134"/>
    </row>
    <row r="356" spans="1:12">
      <c r="A356" s="134"/>
      <c r="B356" s="134"/>
      <c r="C356" s="134"/>
      <c r="D356" s="134"/>
      <c r="E356" s="134"/>
      <c r="F356" s="134"/>
      <c r="G356" s="134"/>
      <c r="H356" s="134"/>
      <c r="I356" s="134"/>
      <c r="J356" s="134"/>
      <c r="K356" s="134"/>
      <c r="L356" s="134"/>
    </row>
    <row r="357" spans="1:12">
      <c r="A357" s="134"/>
      <c r="B357" s="134"/>
      <c r="C357" s="134"/>
      <c r="D357" s="134"/>
      <c r="E357" s="134"/>
      <c r="F357" s="134"/>
      <c r="G357" s="134"/>
      <c r="H357" s="134"/>
      <c r="I357" s="134"/>
      <c r="J357" s="134"/>
      <c r="K357" s="134"/>
      <c r="L357" s="134"/>
    </row>
    <row r="358" spans="1:12">
      <c r="A358" s="134"/>
      <c r="B358" s="134"/>
      <c r="C358" s="134"/>
      <c r="D358" s="134"/>
      <c r="E358" s="134"/>
      <c r="F358" s="134"/>
      <c r="G358" s="134"/>
      <c r="H358" s="134"/>
      <c r="I358" s="134"/>
      <c r="J358" s="134"/>
      <c r="K358" s="134"/>
      <c r="L358" s="134"/>
    </row>
    <row r="359" spans="1:12">
      <c r="A359" s="134"/>
      <c r="B359" s="134"/>
      <c r="C359" s="134"/>
      <c r="D359" s="134"/>
      <c r="E359" s="134"/>
      <c r="F359" s="134"/>
      <c r="G359" s="134"/>
      <c r="H359" s="134"/>
      <c r="I359" s="134"/>
      <c r="J359" s="134"/>
      <c r="K359" s="134"/>
      <c r="L359" s="134"/>
    </row>
    <row r="360" spans="1:12">
      <c r="A360" s="134"/>
      <c r="B360" s="134"/>
      <c r="C360" s="134"/>
      <c r="D360" s="134"/>
      <c r="E360" s="134"/>
      <c r="F360" s="134"/>
      <c r="G360" s="134"/>
      <c r="H360" s="134"/>
      <c r="I360" s="134"/>
      <c r="J360" s="134"/>
      <c r="K360" s="134"/>
      <c r="L360" s="134"/>
    </row>
    <row r="361" spans="1:12">
      <c r="A361" s="134"/>
      <c r="B361" s="134"/>
      <c r="C361" s="134"/>
      <c r="D361" s="134"/>
      <c r="E361" s="134"/>
      <c r="F361" s="134"/>
      <c r="G361" s="134"/>
      <c r="H361" s="134"/>
      <c r="I361" s="134"/>
      <c r="J361" s="134"/>
      <c r="K361" s="134"/>
      <c r="L361" s="134"/>
    </row>
    <row r="362" spans="1:12">
      <c r="A362" s="134"/>
      <c r="B362" s="134"/>
      <c r="C362" s="134"/>
      <c r="D362" s="134"/>
      <c r="E362" s="134"/>
      <c r="F362" s="134"/>
      <c r="G362" s="134"/>
      <c r="H362" s="134"/>
      <c r="I362" s="134"/>
      <c r="J362" s="134"/>
      <c r="K362" s="134"/>
      <c r="L362" s="134"/>
    </row>
    <row r="363" spans="1:12">
      <c r="A363" s="134"/>
      <c r="B363" s="134"/>
      <c r="C363" s="134"/>
      <c r="D363" s="134"/>
      <c r="E363" s="134"/>
      <c r="F363" s="134"/>
      <c r="G363" s="134"/>
      <c r="H363" s="134"/>
      <c r="I363" s="134"/>
      <c r="J363" s="134"/>
      <c r="K363" s="134"/>
      <c r="L363" s="134"/>
    </row>
    <row r="364" spans="1:12">
      <c r="A364" s="134"/>
      <c r="B364" s="134"/>
      <c r="C364" s="134"/>
      <c r="D364" s="134"/>
      <c r="E364" s="134"/>
      <c r="F364" s="134"/>
      <c r="G364" s="134"/>
      <c r="H364" s="134"/>
      <c r="I364" s="134"/>
      <c r="J364" s="134"/>
      <c r="K364" s="134"/>
      <c r="L364" s="134"/>
    </row>
    <row r="365" spans="1:12">
      <c r="A365" s="134"/>
      <c r="B365" s="134"/>
      <c r="C365" s="134"/>
      <c r="D365" s="134"/>
      <c r="E365" s="134"/>
      <c r="F365" s="134"/>
      <c r="G365" s="134"/>
      <c r="H365" s="134"/>
      <c r="I365" s="134"/>
      <c r="J365" s="134"/>
      <c r="K365" s="134"/>
      <c r="L365" s="134"/>
    </row>
    <row r="366" spans="1:12">
      <c r="A366" s="134"/>
      <c r="B366" s="134"/>
      <c r="C366" s="134"/>
      <c r="D366" s="134"/>
      <c r="E366" s="134"/>
      <c r="F366" s="134"/>
      <c r="G366" s="134"/>
      <c r="H366" s="134"/>
      <c r="I366" s="134"/>
      <c r="J366" s="134"/>
      <c r="K366" s="134"/>
      <c r="L366" s="134"/>
    </row>
    <row r="367" spans="1:12">
      <c r="A367" s="134"/>
      <c r="B367" s="134"/>
      <c r="C367" s="134"/>
      <c r="D367" s="134"/>
      <c r="E367" s="134"/>
      <c r="F367" s="134"/>
      <c r="G367" s="134"/>
      <c r="H367" s="134"/>
      <c r="I367" s="134"/>
      <c r="J367" s="134"/>
      <c r="K367" s="134"/>
      <c r="L367" s="134"/>
    </row>
    <row r="368" spans="1:12">
      <c r="A368" s="134"/>
      <c r="B368" s="134"/>
      <c r="C368" s="134"/>
      <c r="D368" s="134"/>
      <c r="E368" s="134"/>
      <c r="F368" s="134"/>
      <c r="G368" s="134"/>
      <c r="H368" s="134"/>
      <c r="I368" s="134"/>
      <c r="J368" s="134"/>
      <c r="K368" s="134"/>
      <c r="L368" s="134"/>
    </row>
    <row r="369" spans="1:12">
      <c r="A369" s="134"/>
      <c r="B369" s="134"/>
      <c r="C369" s="134"/>
      <c r="D369" s="134"/>
      <c r="E369" s="134"/>
      <c r="F369" s="134"/>
      <c r="G369" s="134"/>
      <c r="H369" s="134"/>
      <c r="I369" s="134"/>
      <c r="J369" s="134"/>
      <c r="K369" s="134"/>
      <c r="L369" s="134"/>
    </row>
    <row r="370" spans="1:12">
      <c r="A370" s="134"/>
      <c r="B370" s="134"/>
      <c r="C370" s="134"/>
      <c r="D370" s="134"/>
      <c r="E370" s="134"/>
      <c r="F370" s="134"/>
      <c r="G370" s="134"/>
      <c r="H370" s="134"/>
      <c r="I370" s="134"/>
      <c r="J370" s="134"/>
      <c r="K370" s="134"/>
      <c r="L370" s="134"/>
    </row>
    <row r="371" spans="1:12">
      <c r="A371" s="134"/>
      <c r="B371" s="134"/>
      <c r="C371" s="134"/>
      <c r="D371" s="134"/>
      <c r="E371" s="134"/>
      <c r="F371" s="134"/>
      <c r="G371" s="134"/>
      <c r="H371" s="134"/>
      <c r="I371" s="134"/>
      <c r="J371" s="134"/>
      <c r="K371" s="134"/>
      <c r="L371" s="134"/>
    </row>
    <row r="372" spans="1:12">
      <c r="A372" s="134"/>
      <c r="B372" s="134"/>
      <c r="C372" s="134"/>
      <c r="D372" s="134"/>
      <c r="E372" s="134"/>
      <c r="F372" s="134"/>
      <c r="G372" s="134"/>
      <c r="H372" s="134"/>
      <c r="I372" s="134"/>
      <c r="J372" s="134"/>
      <c r="K372" s="134"/>
      <c r="L372" s="134"/>
    </row>
    <row r="379" spans="1:12">
      <c r="A379" t="s">
        <v>620</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78"/>
  <sheetViews>
    <sheetView zoomScaleNormal="100" workbookViewId="0">
      <pane ySplit="9" topLeftCell="A10" activePane="bottomLeft" state="frozen"/>
      <selection pane="bottomLeft" activeCell="P67" sqref="P67"/>
    </sheetView>
  </sheetViews>
  <sheetFormatPr baseColWidth="10" defaultColWidth="8.83203125" defaultRowHeight="14" outlineLevelRow="1"/>
  <cols>
    <col min="1" max="1" width="6.5" style="36" customWidth="1"/>
    <col min="2" max="2" width="18.5" style="25" customWidth="1"/>
    <col min="3" max="3" width="4.1640625" style="168" customWidth="1"/>
    <col min="4" max="4" width="3.5" style="169"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6" t="s">
        <v>1139</v>
      </c>
      <c r="F1" s="236"/>
      <c r="G1" s="236"/>
      <c r="H1" s="236"/>
      <c r="I1" s="236"/>
      <c r="J1" s="236"/>
      <c r="K1" s="236"/>
      <c r="L1" s="236"/>
      <c r="M1" s="236"/>
      <c r="N1" s="236"/>
    </row>
    <row r="2" spans="1:19" ht="3.75" customHeight="1">
      <c r="E2" s="170"/>
      <c r="F2" s="170"/>
      <c r="G2" s="170"/>
    </row>
    <row r="3" spans="1:19">
      <c r="G3" s="171" t="s">
        <v>651</v>
      </c>
      <c r="H3" s="172">
        <f>CntPeriod/RegDagar</f>
        <v>858.2</v>
      </c>
      <c r="J3" s="173" t="s">
        <v>652</v>
      </c>
      <c r="K3" s="174">
        <v>20</v>
      </c>
      <c r="L3" s="174"/>
    </row>
    <row r="4" spans="1:19">
      <c r="G4" s="171" t="s">
        <v>653</v>
      </c>
      <c r="H4" s="173">
        <f>CntPeriod</f>
        <v>17164</v>
      </c>
      <c r="J4" s="173"/>
      <c r="K4" s="173"/>
      <c r="L4" s="173"/>
      <c r="M4" s="173"/>
    </row>
    <row r="5" spans="1:19" ht="13.25" customHeight="1">
      <c r="B5" s="173"/>
      <c r="C5" s="175"/>
      <c r="E5" s="176"/>
      <c r="F5" s="173"/>
      <c r="G5" s="173"/>
      <c r="H5" s="173"/>
      <c r="I5" s="173"/>
      <c r="J5" s="173"/>
      <c r="K5" s="173"/>
      <c r="L5" s="173"/>
    </row>
    <row r="6" spans="1:19">
      <c r="E6" s="237" t="s">
        <v>654</v>
      </c>
      <c r="F6" s="238"/>
      <c r="G6" s="238"/>
      <c r="H6" s="238"/>
      <c r="I6" s="239"/>
      <c r="J6" s="237" t="s">
        <v>655</v>
      </c>
      <c r="K6" s="238"/>
      <c r="L6" s="238"/>
      <c r="M6" s="238"/>
      <c r="N6" s="239"/>
      <c r="R6" s="177"/>
      <c r="S6" s="177"/>
    </row>
    <row r="7" spans="1:19">
      <c r="A7" s="226" t="s">
        <v>656</v>
      </c>
      <c r="B7" s="226"/>
      <c r="C7" s="226"/>
      <c r="D7" s="240"/>
      <c r="E7" s="241" t="s">
        <v>1140</v>
      </c>
      <c r="F7" s="242"/>
      <c r="G7" s="242"/>
      <c r="H7" s="242"/>
      <c r="I7" s="243"/>
      <c r="J7" s="244" t="s">
        <v>657</v>
      </c>
      <c r="K7" s="245"/>
      <c r="L7" s="245"/>
      <c r="M7" s="245"/>
      <c r="N7" s="246"/>
    </row>
    <row r="8" spans="1:19" ht="13.25" customHeight="1">
      <c r="A8" s="178" t="s">
        <v>658</v>
      </c>
      <c r="E8" s="233" t="s">
        <v>659</v>
      </c>
      <c r="F8" s="234"/>
      <c r="G8" s="224" t="s">
        <v>660</v>
      </c>
      <c r="H8" s="233" t="s">
        <v>502</v>
      </c>
      <c r="I8" s="235"/>
      <c r="J8" s="233" t="s">
        <v>659</v>
      </c>
      <c r="K8" s="234"/>
      <c r="L8" s="224" t="s">
        <v>660</v>
      </c>
      <c r="M8" s="233" t="s">
        <v>502</v>
      </c>
      <c r="N8" s="235"/>
    </row>
    <row r="9" spans="1:19">
      <c r="A9" s="178" t="s">
        <v>661</v>
      </c>
      <c r="B9" s="177" t="s">
        <v>424</v>
      </c>
      <c r="C9" s="179"/>
      <c r="E9" s="180">
        <v>2024</v>
      </c>
      <c r="F9" s="181">
        <v>2023</v>
      </c>
      <c r="G9" s="182" t="s">
        <v>662</v>
      </c>
      <c r="H9" s="181">
        <v>2024</v>
      </c>
      <c r="I9" s="183">
        <v>2023</v>
      </c>
      <c r="J9" s="180">
        <v>2024</v>
      </c>
      <c r="K9" s="181">
        <v>2023</v>
      </c>
      <c r="L9" s="182" t="s">
        <v>662</v>
      </c>
      <c r="M9" s="181">
        <v>2024</v>
      </c>
      <c r="N9" s="183">
        <v>2023</v>
      </c>
    </row>
    <row r="10" spans="1:19" collapsed="1">
      <c r="A10" s="178" t="s">
        <v>663</v>
      </c>
      <c r="B10" s="177" t="s">
        <v>275</v>
      </c>
      <c r="C10" s="184">
        <f t="shared" ref="C10:C73" si="0">IF(K10=0,"",SUM(((J10-K10)/K10)*100))</f>
        <v>1.7514871116986119</v>
      </c>
      <c r="E10" s="180">
        <v>3079</v>
      </c>
      <c r="F10" s="181">
        <v>3026</v>
      </c>
      <c r="G10" s="185">
        <f t="shared" ref="G10:G73" si="1">IF(F10=0,"",SUM(((E10-F10)/F10)*100))</f>
        <v>1.7514871116986119</v>
      </c>
      <c r="H10" s="186">
        <f t="shared" ref="H10:H73" si="2">IF(E10=0,"",SUM((E10/CntPeriod)*100))</f>
        <v>17.938708925658357</v>
      </c>
      <c r="I10" s="186">
        <f t="shared" ref="I10:I73" si="3">IF(F10=0,"",SUM((F10/CntPeriodPrevYear)*100))</f>
        <v>20.724607903568248</v>
      </c>
      <c r="J10" s="180">
        <v>3079</v>
      </c>
      <c r="K10" s="181">
        <v>3026</v>
      </c>
      <c r="L10" s="185">
        <f t="shared" ref="L10:L73" si="4">IF(K10=0,"",SUM(((J10-K10)/K10)*100))</f>
        <v>1.7514871116986119</v>
      </c>
      <c r="M10" s="186">
        <f t="shared" ref="M10:M73" si="5">IF(J10=0,"",SUM((J10/CntYearAck)*100))</f>
        <v>17.938708925658357</v>
      </c>
      <c r="N10" s="187">
        <f t="shared" ref="N10:N73" si="6">IF(K10=0,"",SUM((K10/CntPrevYearAck)*100))</f>
        <v>20.724607903568248</v>
      </c>
    </row>
    <row r="11" spans="1:19" hidden="1" outlineLevel="1">
      <c r="A11" s="178"/>
      <c r="B11" s="188" t="s">
        <v>665</v>
      </c>
      <c r="C11" s="184">
        <f t="shared" si="0"/>
        <v>12.752525252525251</v>
      </c>
      <c r="E11" s="180">
        <v>893</v>
      </c>
      <c r="F11" s="181">
        <v>792</v>
      </c>
      <c r="G11" s="189">
        <f t="shared" si="1"/>
        <v>12.752525252525251</v>
      </c>
      <c r="H11" s="186">
        <f t="shared" si="2"/>
        <v>5.2027499417385226</v>
      </c>
      <c r="I11" s="186">
        <f t="shared" si="3"/>
        <v>5.4242860078076847</v>
      </c>
      <c r="J11" s="180">
        <v>893</v>
      </c>
      <c r="K11" s="181">
        <v>792</v>
      </c>
      <c r="L11" s="189">
        <f t="shared" si="4"/>
        <v>12.752525252525251</v>
      </c>
      <c r="M11" s="186">
        <f t="shared" si="5"/>
        <v>5.2027499417385226</v>
      </c>
      <c r="N11" s="187">
        <f t="shared" si="6"/>
        <v>5.4242860078076847</v>
      </c>
    </row>
    <row r="12" spans="1:19" hidden="1" outlineLevel="1">
      <c r="A12" s="178"/>
      <c r="B12" s="188" t="s">
        <v>664</v>
      </c>
      <c r="C12" s="184">
        <f t="shared" si="0"/>
        <v>-20.634920634920633</v>
      </c>
      <c r="E12" s="180">
        <v>700</v>
      </c>
      <c r="F12" s="181">
        <v>882</v>
      </c>
      <c r="G12" s="189">
        <f t="shared" si="1"/>
        <v>-20.634920634920633</v>
      </c>
      <c r="H12" s="186">
        <f t="shared" si="2"/>
        <v>4.0783034257748776</v>
      </c>
      <c r="I12" s="186">
        <f t="shared" si="3"/>
        <v>6.0406821450585575</v>
      </c>
      <c r="J12" s="180">
        <v>700</v>
      </c>
      <c r="K12" s="181">
        <v>882</v>
      </c>
      <c r="L12" s="189">
        <f t="shared" si="4"/>
        <v>-20.634920634920633</v>
      </c>
      <c r="M12" s="186">
        <f t="shared" si="5"/>
        <v>4.0783034257748776</v>
      </c>
      <c r="N12" s="187">
        <f t="shared" si="6"/>
        <v>6.0406821450585575</v>
      </c>
    </row>
    <row r="13" spans="1:19" hidden="1" outlineLevel="1">
      <c r="A13" s="178"/>
      <c r="B13" s="188" t="s">
        <v>666</v>
      </c>
      <c r="C13" s="184">
        <f t="shared" si="0"/>
        <v>-32.164634146341463</v>
      </c>
      <c r="E13" s="180">
        <v>445</v>
      </c>
      <c r="F13" s="181">
        <v>656</v>
      </c>
      <c r="G13" s="189">
        <f t="shared" si="1"/>
        <v>-32.164634146341463</v>
      </c>
      <c r="H13" s="186">
        <f t="shared" si="2"/>
        <v>2.5926357492426009</v>
      </c>
      <c r="I13" s="186">
        <f t="shared" si="3"/>
        <v>4.4928429559619207</v>
      </c>
      <c r="J13" s="180">
        <v>445</v>
      </c>
      <c r="K13" s="181">
        <v>656</v>
      </c>
      <c r="L13" s="189">
        <f t="shared" si="4"/>
        <v>-32.164634146341463</v>
      </c>
      <c r="M13" s="186">
        <f t="shared" si="5"/>
        <v>2.5926357492426009</v>
      </c>
      <c r="N13" s="187">
        <f t="shared" si="6"/>
        <v>4.4928429559619207</v>
      </c>
    </row>
    <row r="14" spans="1:19" hidden="1" outlineLevel="1">
      <c r="A14" s="178"/>
      <c r="B14" s="188" t="s">
        <v>669</v>
      </c>
      <c r="C14" s="184">
        <f t="shared" si="0"/>
        <v>-7.5268817204301079</v>
      </c>
      <c r="E14" s="180">
        <v>344</v>
      </c>
      <c r="F14" s="181">
        <v>372</v>
      </c>
      <c r="G14" s="189">
        <f t="shared" si="1"/>
        <v>-7.5268817204301079</v>
      </c>
      <c r="H14" s="186">
        <f t="shared" si="2"/>
        <v>2.0041948263807967</v>
      </c>
      <c r="I14" s="186">
        <f t="shared" si="3"/>
        <v>2.547770700636943</v>
      </c>
      <c r="J14" s="180">
        <v>344</v>
      </c>
      <c r="K14" s="181">
        <v>372</v>
      </c>
      <c r="L14" s="189">
        <f t="shared" si="4"/>
        <v>-7.5268817204301079</v>
      </c>
      <c r="M14" s="186">
        <f t="shared" si="5"/>
        <v>2.0041948263807967</v>
      </c>
      <c r="N14" s="187">
        <f t="shared" si="6"/>
        <v>2.547770700636943</v>
      </c>
    </row>
    <row r="15" spans="1:19" hidden="1" outlineLevel="1">
      <c r="A15" s="178"/>
      <c r="B15" s="188" t="s">
        <v>1124</v>
      </c>
      <c r="C15" s="184" t="str">
        <f t="shared" si="0"/>
        <v/>
      </c>
      <c r="E15" s="180">
        <v>274</v>
      </c>
      <c r="F15" s="181">
        <v>0</v>
      </c>
      <c r="G15" s="189" t="str">
        <f t="shared" si="1"/>
        <v/>
      </c>
      <c r="H15" s="186">
        <f t="shared" si="2"/>
        <v>1.5963644838033093</v>
      </c>
      <c r="I15" s="186" t="str">
        <f t="shared" si="3"/>
        <v/>
      </c>
      <c r="J15" s="180">
        <v>274</v>
      </c>
      <c r="K15" s="181">
        <v>0</v>
      </c>
      <c r="L15" s="189" t="str">
        <f t="shared" si="4"/>
        <v/>
      </c>
      <c r="M15" s="186">
        <f t="shared" si="5"/>
        <v>1.5963644838033093</v>
      </c>
      <c r="N15" s="187" t="str">
        <f t="shared" si="6"/>
        <v/>
      </c>
    </row>
    <row r="16" spans="1:19" hidden="1" outlineLevel="1">
      <c r="A16" s="178"/>
      <c r="B16" s="188" t="s">
        <v>667</v>
      </c>
      <c r="C16" s="184">
        <f t="shared" si="0"/>
        <v>34.210526315789473</v>
      </c>
      <c r="E16" s="180">
        <v>204</v>
      </c>
      <c r="F16" s="181">
        <v>152</v>
      </c>
      <c r="G16" s="189">
        <f t="shared" si="1"/>
        <v>34.210526315789473</v>
      </c>
      <c r="H16" s="186">
        <f t="shared" si="2"/>
        <v>1.1885341412258215</v>
      </c>
      <c r="I16" s="186">
        <f t="shared" si="3"/>
        <v>1.0410245873570303</v>
      </c>
      <c r="J16" s="180">
        <v>204</v>
      </c>
      <c r="K16" s="181">
        <v>152</v>
      </c>
      <c r="L16" s="189">
        <f t="shared" si="4"/>
        <v>34.210526315789473</v>
      </c>
      <c r="M16" s="186">
        <f t="shared" si="5"/>
        <v>1.1885341412258215</v>
      </c>
      <c r="N16" s="187">
        <f t="shared" si="6"/>
        <v>1.0410245873570303</v>
      </c>
    </row>
    <row r="17" spans="1:14" hidden="1" outlineLevel="1">
      <c r="A17" s="178"/>
      <c r="B17" s="188" t="s">
        <v>668</v>
      </c>
      <c r="C17" s="184">
        <f t="shared" si="0"/>
        <v>20.64516129032258</v>
      </c>
      <c r="E17" s="180">
        <v>187</v>
      </c>
      <c r="F17" s="181">
        <v>155</v>
      </c>
      <c r="G17" s="189">
        <f t="shared" si="1"/>
        <v>20.64516129032258</v>
      </c>
      <c r="H17" s="186">
        <f t="shared" si="2"/>
        <v>1.0894896294570031</v>
      </c>
      <c r="I17" s="186">
        <f t="shared" si="3"/>
        <v>1.0615711252653928</v>
      </c>
      <c r="J17" s="180">
        <v>187</v>
      </c>
      <c r="K17" s="181">
        <v>155</v>
      </c>
      <c r="L17" s="189">
        <f t="shared" si="4"/>
        <v>20.64516129032258</v>
      </c>
      <c r="M17" s="186">
        <f t="shared" si="5"/>
        <v>1.0894896294570031</v>
      </c>
      <c r="N17" s="187">
        <f t="shared" si="6"/>
        <v>1.0615711252653928</v>
      </c>
    </row>
    <row r="18" spans="1:14" hidden="1" outlineLevel="1">
      <c r="A18" s="178"/>
      <c r="B18" s="188" t="s">
        <v>670</v>
      </c>
      <c r="C18" s="184">
        <f t="shared" si="0"/>
        <v>88.235294117647058</v>
      </c>
      <c r="E18" s="180">
        <v>32</v>
      </c>
      <c r="F18" s="181">
        <v>17</v>
      </c>
      <c r="G18" s="189">
        <f t="shared" si="1"/>
        <v>88.235294117647058</v>
      </c>
      <c r="H18" s="186">
        <f t="shared" si="2"/>
        <v>0.18643672803542299</v>
      </c>
      <c r="I18" s="186">
        <f t="shared" si="3"/>
        <v>0.1164303814807205</v>
      </c>
      <c r="J18" s="180">
        <v>32</v>
      </c>
      <c r="K18" s="181">
        <v>17</v>
      </c>
      <c r="L18" s="189">
        <f t="shared" si="4"/>
        <v>88.235294117647058</v>
      </c>
      <c r="M18" s="186">
        <f t="shared" si="5"/>
        <v>0.18643672803542299</v>
      </c>
      <c r="N18" s="187">
        <f t="shared" si="6"/>
        <v>0.1164303814807205</v>
      </c>
    </row>
    <row r="19" spans="1:14" collapsed="1">
      <c r="A19" s="178" t="s">
        <v>1141</v>
      </c>
      <c r="B19" s="177" t="s">
        <v>680</v>
      </c>
      <c r="C19" s="184">
        <f t="shared" si="0"/>
        <v>43.916486681065514</v>
      </c>
      <c r="E19" s="180">
        <v>1999</v>
      </c>
      <c r="F19" s="181">
        <v>1389</v>
      </c>
      <c r="G19" s="189">
        <f t="shared" si="1"/>
        <v>43.916486681065514</v>
      </c>
      <c r="H19" s="186">
        <f t="shared" si="2"/>
        <v>11.64646935446283</v>
      </c>
      <c r="I19" s="186">
        <f t="shared" si="3"/>
        <v>9.5130470515718102</v>
      </c>
      <c r="J19" s="180">
        <v>1999</v>
      </c>
      <c r="K19" s="181">
        <v>1389</v>
      </c>
      <c r="L19" s="189">
        <f t="shared" si="4"/>
        <v>43.916486681065514</v>
      </c>
      <c r="M19" s="186">
        <f t="shared" si="5"/>
        <v>11.64646935446283</v>
      </c>
      <c r="N19" s="187">
        <f t="shared" si="6"/>
        <v>9.5130470515718102</v>
      </c>
    </row>
    <row r="20" spans="1:14" hidden="1" outlineLevel="1">
      <c r="A20" s="178"/>
      <c r="B20" s="188" t="s">
        <v>682</v>
      </c>
      <c r="C20" s="184">
        <f t="shared" si="0"/>
        <v>470.14925373134326</v>
      </c>
      <c r="E20" s="180">
        <v>382</v>
      </c>
      <c r="F20" s="181">
        <v>67</v>
      </c>
      <c r="G20" s="189">
        <f t="shared" si="1"/>
        <v>470.14925373134326</v>
      </c>
      <c r="H20" s="186">
        <f t="shared" si="2"/>
        <v>2.2255884409228615</v>
      </c>
      <c r="I20" s="186">
        <f t="shared" si="3"/>
        <v>0.45887267995342784</v>
      </c>
      <c r="J20" s="180">
        <v>382</v>
      </c>
      <c r="K20" s="181">
        <v>67</v>
      </c>
      <c r="L20" s="189">
        <f t="shared" si="4"/>
        <v>470.14925373134326</v>
      </c>
      <c r="M20" s="186">
        <f t="shared" si="5"/>
        <v>2.2255884409228615</v>
      </c>
      <c r="N20" s="187">
        <f t="shared" si="6"/>
        <v>0.45887267995342784</v>
      </c>
    </row>
    <row r="21" spans="1:14" hidden="1" outlineLevel="1">
      <c r="A21" s="178"/>
      <c r="B21" s="188" t="s">
        <v>681</v>
      </c>
      <c r="C21" s="184">
        <f t="shared" si="0"/>
        <v>4.3478260869565215</v>
      </c>
      <c r="E21" s="180">
        <v>288</v>
      </c>
      <c r="F21" s="181">
        <v>276</v>
      </c>
      <c r="G21" s="189">
        <f t="shared" si="1"/>
        <v>4.3478260869565215</v>
      </c>
      <c r="H21" s="186">
        <f t="shared" si="2"/>
        <v>1.6779305523188066</v>
      </c>
      <c r="I21" s="186">
        <f t="shared" si="3"/>
        <v>1.8902814875693446</v>
      </c>
      <c r="J21" s="180">
        <v>288</v>
      </c>
      <c r="K21" s="181">
        <v>276</v>
      </c>
      <c r="L21" s="189">
        <f t="shared" si="4"/>
        <v>4.3478260869565215</v>
      </c>
      <c r="M21" s="186">
        <f t="shared" si="5"/>
        <v>1.6779305523188066</v>
      </c>
      <c r="N21" s="187">
        <f t="shared" si="6"/>
        <v>1.8902814875693446</v>
      </c>
    </row>
    <row r="22" spans="1:14" hidden="1" outlineLevel="1">
      <c r="A22" s="178"/>
      <c r="B22" s="188" t="s">
        <v>684</v>
      </c>
      <c r="C22" s="184">
        <f t="shared" si="0"/>
        <v>202.12765957446811</v>
      </c>
      <c r="E22" s="180">
        <v>284</v>
      </c>
      <c r="F22" s="181">
        <v>94</v>
      </c>
      <c r="G22" s="189">
        <f t="shared" si="1"/>
        <v>202.12765957446811</v>
      </c>
      <c r="H22" s="186">
        <f t="shared" si="2"/>
        <v>1.654625961314379</v>
      </c>
      <c r="I22" s="186">
        <f t="shared" si="3"/>
        <v>0.64379152112868987</v>
      </c>
      <c r="J22" s="180">
        <v>284</v>
      </c>
      <c r="K22" s="181">
        <v>94</v>
      </c>
      <c r="L22" s="189">
        <f t="shared" si="4"/>
        <v>202.12765957446811</v>
      </c>
      <c r="M22" s="186">
        <f t="shared" si="5"/>
        <v>1.654625961314379</v>
      </c>
      <c r="N22" s="187">
        <f t="shared" si="6"/>
        <v>0.64379152112868987</v>
      </c>
    </row>
    <row r="23" spans="1:14" hidden="1" outlineLevel="1">
      <c r="A23" s="178"/>
      <c r="B23" s="188" t="s">
        <v>685</v>
      </c>
      <c r="C23" s="184">
        <f t="shared" si="0"/>
        <v>38.70967741935484</v>
      </c>
      <c r="E23" s="180">
        <v>258</v>
      </c>
      <c r="F23" s="181">
        <v>186</v>
      </c>
      <c r="G23" s="189">
        <f t="shared" si="1"/>
        <v>38.70967741935484</v>
      </c>
      <c r="H23" s="186">
        <f t="shared" si="2"/>
        <v>1.5031461197855978</v>
      </c>
      <c r="I23" s="186">
        <f t="shared" si="3"/>
        <v>1.2738853503184715</v>
      </c>
      <c r="J23" s="180">
        <v>258</v>
      </c>
      <c r="K23" s="181">
        <v>186</v>
      </c>
      <c r="L23" s="189">
        <f t="shared" si="4"/>
        <v>38.70967741935484</v>
      </c>
      <c r="M23" s="186">
        <f t="shared" si="5"/>
        <v>1.5031461197855978</v>
      </c>
      <c r="N23" s="187">
        <f t="shared" si="6"/>
        <v>1.2738853503184715</v>
      </c>
    </row>
    <row r="24" spans="1:14" hidden="1" outlineLevel="1">
      <c r="A24" s="178"/>
      <c r="B24" s="188" t="s">
        <v>683</v>
      </c>
      <c r="C24" s="184">
        <f t="shared" si="0"/>
        <v>-18.181818181818183</v>
      </c>
      <c r="E24" s="180">
        <v>198</v>
      </c>
      <c r="F24" s="181">
        <v>242</v>
      </c>
      <c r="G24" s="189">
        <f t="shared" si="1"/>
        <v>-18.181818181818183</v>
      </c>
      <c r="H24" s="186">
        <f t="shared" si="2"/>
        <v>1.1535772547191796</v>
      </c>
      <c r="I24" s="186">
        <f t="shared" si="3"/>
        <v>1.6574207246079036</v>
      </c>
      <c r="J24" s="180">
        <v>198</v>
      </c>
      <c r="K24" s="181">
        <v>242</v>
      </c>
      <c r="L24" s="189">
        <f t="shared" si="4"/>
        <v>-18.181818181818183</v>
      </c>
      <c r="M24" s="186">
        <f t="shared" si="5"/>
        <v>1.1535772547191796</v>
      </c>
      <c r="N24" s="187">
        <f t="shared" si="6"/>
        <v>1.6574207246079036</v>
      </c>
    </row>
    <row r="25" spans="1:14" hidden="1" outlineLevel="1">
      <c r="A25" s="178"/>
      <c r="B25" s="188" t="s">
        <v>687</v>
      </c>
      <c r="C25" s="184">
        <f t="shared" si="0"/>
        <v>-6.0606060606060606</v>
      </c>
      <c r="E25" s="180">
        <v>155</v>
      </c>
      <c r="F25" s="181">
        <v>165</v>
      </c>
      <c r="G25" s="189">
        <f t="shared" si="1"/>
        <v>-6.0606060606060606</v>
      </c>
      <c r="H25" s="186">
        <f t="shared" si="2"/>
        <v>0.90305290142158012</v>
      </c>
      <c r="I25" s="186">
        <f t="shared" si="3"/>
        <v>1.1300595849599342</v>
      </c>
      <c r="J25" s="180">
        <v>155</v>
      </c>
      <c r="K25" s="181">
        <v>165</v>
      </c>
      <c r="L25" s="189">
        <f t="shared" si="4"/>
        <v>-6.0606060606060606</v>
      </c>
      <c r="M25" s="186">
        <f t="shared" si="5"/>
        <v>0.90305290142158012</v>
      </c>
      <c r="N25" s="187">
        <f t="shared" si="6"/>
        <v>1.1300595849599342</v>
      </c>
    </row>
    <row r="26" spans="1:14" hidden="1" outlineLevel="1">
      <c r="A26" s="178"/>
      <c r="B26" s="188" t="s">
        <v>688</v>
      </c>
      <c r="C26" s="184">
        <f t="shared" si="0"/>
        <v>137.28813559322032</v>
      </c>
      <c r="E26" s="180">
        <v>140</v>
      </c>
      <c r="F26" s="181">
        <v>59</v>
      </c>
      <c r="G26" s="189">
        <f t="shared" si="1"/>
        <v>137.28813559322032</v>
      </c>
      <c r="H26" s="186">
        <f t="shared" si="2"/>
        <v>0.81566068515497547</v>
      </c>
      <c r="I26" s="186">
        <f t="shared" si="3"/>
        <v>0.40408191219779471</v>
      </c>
      <c r="J26" s="180">
        <v>140</v>
      </c>
      <c r="K26" s="181">
        <v>59</v>
      </c>
      <c r="L26" s="189">
        <f t="shared" si="4"/>
        <v>137.28813559322032</v>
      </c>
      <c r="M26" s="186">
        <f t="shared" si="5"/>
        <v>0.81566068515497547</v>
      </c>
      <c r="N26" s="187">
        <f t="shared" si="6"/>
        <v>0.40408191219779471</v>
      </c>
    </row>
    <row r="27" spans="1:14" hidden="1" outlineLevel="1">
      <c r="A27" s="178"/>
      <c r="B27" s="188" t="s">
        <v>686</v>
      </c>
      <c r="C27" s="184">
        <f t="shared" si="0"/>
        <v>-29.523809523809526</v>
      </c>
      <c r="E27" s="180">
        <v>74</v>
      </c>
      <c r="F27" s="181">
        <v>105</v>
      </c>
      <c r="G27" s="189">
        <f t="shared" si="1"/>
        <v>-29.523809523809526</v>
      </c>
      <c r="H27" s="186">
        <f t="shared" si="2"/>
        <v>0.43113493358191562</v>
      </c>
      <c r="I27" s="186">
        <f t="shared" si="3"/>
        <v>0.71912882679268542</v>
      </c>
      <c r="J27" s="180">
        <v>74</v>
      </c>
      <c r="K27" s="181">
        <v>105</v>
      </c>
      <c r="L27" s="189">
        <f t="shared" si="4"/>
        <v>-29.523809523809526</v>
      </c>
      <c r="M27" s="186">
        <f t="shared" si="5"/>
        <v>0.43113493358191562</v>
      </c>
      <c r="N27" s="187">
        <f t="shared" si="6"/>
        <v>0.71912882679268542</v>
      </c>
    </row>
    <row r="28" spans="1:14" hidden="1" outlineLevel="1">
      <c r="A28" s="178"/>
      <c r="B28" s="188" t="s">
        <v>692</v>
      </c>
      <c r="C28" s="184">
        <f t="shared" si="0"/>
        <v>138.88888888888889</v>
      </c>
      <c r="E28" s="180">
        <v>43</v>
      </c>
      <c r="F28" s="181">
        <v>18</v>
      </c>
      <c r="G28" s="189">
        <f t="shared" si="1"/>
        <v>138.88888888888889</v>
      </c>
      <c r="H28" s="186">
        <f t="shared" si="2"/>
        <v>0.25052435329759959</v>
      </c>
      <c r="I28" s="186">
        <f t="shared" si="3"/>
        <v>0.12327922745017465</v>
      </c>
      <c r="J28" s="180">
        <v>43</v>
      </c>
      <c r="K28" s="181">
        <v>18</v>
      </c>
      <c r="L28" s="189">
        <f t="shared" si="4"/>
        <v>138.88888888888889</v>
      </c>
      <c r="M28" s="186">
        <f t="shared" si="5"/>
        <v>0.25052435329759959</v>
      </c>
      <c r="N28" s="187">
        <f t="shared" si="6"/>
        <v>0.12327922745017465</v>
      </c>
    </row>
    <row r="29" spans="1:14" hidden="1" outlineLevel="1">
      <c r="A29" s="178"/>
      <c r="B29" s="188" t="s">
        <v>690</v>
      </c>
      <c r="C29" s="184">
        <f t="shared" si="0"/>
        <v>-16.666666666666664</v>
      </c>
      <c r="E29" s="180">
        <v>30</v>
      </c>
      <c r="F29" s="181">
        <v>36</v>
      </c>
      <c r="G29" s="189">
        <f t="shared" si="1"/>
        <v>-16.666666666666664</v>
      </c>
      <c r="H29" s="186">
        <f t="shared" si="2"/>
        <v>0.17478443253320905</v>
      </c>
      <c r="I29" s="186">
        <f t="shared" si="3"/>
        <v>0.24655845490034931</v>
      </c>
      <c r="J29" s="180">
        <v>30</v>
      </c>
      <c r="K29" s="181">
        <v>36</v>
      </c>
      <c r="L29" s="189">
        <f t="shared" si="4"/>
        <v>-16.666666666666664</v>
      </c>
      <c r="M29" s="186">
        <f t="shared" si="5"/>
        <v>0.17478443253320905</v>
      </c>
      <c r="N29" s="187">
        <f t="shared" si="6"/>
        <v>0.24655845490034931</v>
      </c>
    </row>
    <row r="30" spans="1:14" hidden="1" outlineLevel="1">
      <c r="A30" s="178"/>
      <c r="B30" s="188" t="s">
        <v>938</v>
      </c>
      <c r="C30" s="184">
        <f t="shared" si="0"/>
        <v>66.666666666666657</v>
      </c>
      <c r="E30" s="180">
        <v>30</v>
      </c>
      <c r="F30" s="181">
        <v>18</v>
      </c>
      <c r="G30" s="189">
        <f t="shared" si="1"/>
        <v>66.666666666666657</v>
      </c>
      <c r="H30" s="186">
        <f t="shared" si="2"/>
        <v>0.17478443253320905</v>
      </c>
      <c r="I30" s="186">
        <f t="shared" si="3"/>
        <v>0.12327922745017465</v>
      </c>
      <c r="J30" s="180">
        <v>30</v>
      </c>
      <c r="K30" s="181">
        <v>18</v>
      </c>
      <c r="L30" s="189">
        <f t="shared" si="4"/>
        <v>66.666666666666657</v>
      </c>
      <c r="M30" s="186">
        <f t="shared" si="5"/>
        <v>0.17478443253320905</v>
      </c>
      <c r="N30" s="187">
        <f t="shared" si="6"/>
        <v>0.12327922745017465</v>
      </c>
    </row>
    <row r="31" spans="1:14" hidden="1" outlineLevel="1">
      <c r="A31" s="178"/>
      <c r="B31" s="188" t="s">
        <v>1119</v>
      </c>
      <c r="C31" s="184" t="str">
        <f t="shared" si="0"/>
        <v/>
      </c>
      <c r="E31" s="180">
        <v>25</v>
      </c>
      <c r="F31" s="181">
        <v>0</v>
      </c>
      <c r="G31" s="189" t="str">
        <f t="shared" si="1"/>
        <v/>
      </c>
      <c r="H31" s="186">
        <f t="shared" si="2"/>
        <v>0.1456536937776742</v>
      </c>
      <c r="I31" s="186" t="str">
        <f t="shared" si="3"/>
        <v/>
      </c>
      <c r="J31" s="180">
        <v>25</v>
      </c>
      <c r="K31" s="181">
        <v>0</v>
      </c>
      <c r="L31" s="189" t="str">
        <f t="shared" si="4"/>
        <v/>
      </c>
      <c r="M31" s="186">
        <f t="shared" si="5"/>
        <v>0.1456536937776742</v>
      </c>
      <c r="N31" s="187" t="str">
        <f t="shared" si="6"/>
        <v/>
      </c>
    </row>
    <row r="32" spans="1:14" hidden="1" outlineLevel="1">
      <c r="A32" s="178"/>
      <c r="B32" s="188" t="s">
        <v>697</v>
      </c>
      <c r="C32" s="184">
        <f t="shared" si="0"/>
        <v>700</v>
      </c>
      <c r="E32" s="180">
        <v>24</v>
      </c>
      <c r="F32" s="181">
        <v>3</v>
      </c>
      <c r="G32" s="189">
        <f t="shared" si="1"/>
        <v>700</v>
      </c>
      <c r="H32" s="186">
        <f t="shared" si="2"/>
        <v>0.13982754602656725</v>
      </c>
      <c r="I32" s="186">
        <f t="shared" si="3"/>
        <v>2.0546537908362441E-2</v>
      </c>
      <c r="J32" s="180">
        <v>24</v>
      </c>
      <c r="K32" s="181">
        <v>3</v>
      </c>
      <c r="L32" s="189">
        <f t="shared" si="4"/>
        <v>700</v>
      </c>
      <c r="M32" s="186">
        <f t="shared" si="5"/>
        <v>0.13982754602656725</v>
      </c>
      <c r="N32" s="187">
        <f t="shared" si="6"/>
        <v>2.0546537908362441E-2</v>
      </c>
    </row>
    <row r="33" spans="1:14" hidden="1" outlineLevel="1">
      <c r="A33" s="178"/>
      <c r="B33" s="188" t="s">
        <v>693</v>
      </c>
      <c r="C33" s="184">
        <f t="shared" si="0"/>
        <v>-32.352941176470587</v>
      </c>
      <c r="E33" s="180">
        <v>23</v>
      </c>
      <c r="F33" s="181">
        <v>34</v>
      </c>
      <c r="G33" s="189">
        <f t="shared" si="1"/>
        <v>-32.352941176470587</v>
      </c>
      <c r="H33" s="186">
        <f t="shared" si="2"/>
        <v>0.13400139827546026</v>
      </c>
      <c r="I33" s="186">
        <f t="shared" si="3"/>
        <v>0.23286076296144101</v>
      </c>
      <c r="J33" s="180">
        <v>23</v>
      </c>
      <c r="K33" s="181">
        <v>34</v>
      </c>
      <c r="L33" s="189">
        <f t="shared" si="4"/>
        <v>-32.352941176470587</v>
      </c>
      <c r="M33" s="186">
        <f t="shared" si="5"/>
        <v>0.13400139827546026</v>
      </c>
      <c r="N33" s="187">
        <f t="shared" si="6"/>
        <v>0.23286076296144101</v>
      </c>
    </row>
    <row r="34" spans="1:14" hidden="1" outlineLevel="1">
      <c r="A34" s="178"/>
      <c r="B34" s="188" t="s">
        <v>689</v>
      </c>
      <c r="C34" s="184">
        <f t="shared" si="0"/>
        <v>15.384615384615385</v>
      </c>
      <c r="E34" s="180">
        <v>15</v>
      </c>
      <c r="F34" s="181">
        <v>13</v>
      </c>
      <c r="G34" s="189">
        <f t="shared" si="1"/>
        <v>15.384615384615385</v>
      </c>
      <c r="H34" s="186">
        <f t="shared" si="2"/>
        <v>8.7392216266604525E-2</v>
      </c>
      <c r="I34" s="186">
        <f t="shared" si="3"/>
        <v>8.9034997602903912E-2</v>
      </c>
      <c r="J34" s="180">
        <v>15</v>
      </c>
      <c r="K34" s="181">
        <v>13</v>
      </c>
      <c r="L34" s="189">
        <f t="shared" si="4"/>
        <v>15.384615384615385</v>
      </c>
      <c r="M34" s="186">
        <f t="shared" si="5"/>
        <v>8.7392216266604525E-2</v>
      </c>
      <c r="N34" s="187">
        <f t="shared" si="6"/>
        <v>8.9034997602903912E-2</v>
      </c>
    </row>
    <row r="35" spans="1:14" hidden="1" outlineLevel="1">
      <c r="A35" s="178"/>
      <c r="B35" s="188" t="s">
        <v>694</v>
      </c>
      <c r="C35" s="184">
        <f t="shared" si="0"/>
        <v>-45</v>
      </c>
      <c r="E35" s="180">
        <v>11</v>
      </c>
      <c r="F35" s="181">
        <v>20</v>
      </c>
      <c r="G35" s="189">
        <f t="shared" si="1"/>
        <v>-45</v>
      </c>
      <c r="H35" s="186">
        <f t="shared" si="2"/>
        <v>6.4087625262176651E-2</v>
      </c>
      <c r="I35" s="186">
        <f t="shared" si="3"/>
        <v>0.13697691938908294</v>
      </c>
      <c r="J35" s="180">
        <v>11</v>
      </c>
      <c r="K35" s="181">
        <v>20</v>
      </c>
      <c r="L35" s="189">
        <f t="shared" si="4"/>
        <v>-45</v>
      </c>
      <c r="M35" s="186">
        <f t="shared" si="5"/>
        <v>6.4087625262176651E-2</v>
      </c>
      <c r="N35" s="187">
        <f t="shared" si="6"/>
        <v>0.13697691938908294</v>
      </c>
    </row>
    <row r="36" spans="1:14" hidden="1" outlineLevel="1">
      <c r="A36" s="178"/>
      <c r="B36" s="188" t="s">
        <v>691</v>
      </c>
      <c r="C36" s="184">
        <f t="shared" si="0"/>
        <v>-76.31578947368422</v>
      </c>
      <c r="E36" s="180">
        <v>9</v>
      </c>
      <c r="F36" s="181">
        <v>38</v>
      </c>
      <c r="G36" s="189">
        <f t="shared" si="1"/>
        <v>-76.31578947368422</v>
      </c>
      <c r="H36" s="186">
        <f t="shared" si="2"/>
        <v>5.2435329759962707E-2</v>
      </c>
      <c r="I36" s="186">
        <f t="shared" si="3"/>
        <v>0.26025614683925757</v>
      </c>
      <c r="J36" s="180">
        <v>9</v>
      </c>
      <c r="K36" s="181">
        <v>38</v>
      </c>
      <c r="L36" s="189">
        <f t="shared" si="4"/>
        <v>-76.31578947368422</v>
      </c>
      <c r="M36" s="186">
        <f t="shared" si="5"/>
        <v>5.2435329759962707E-2</v>
      </c>
      <c r="N36" s="187">
        <f t="shared" si="6"/>
        <v>0.26025614683925757</v>
      </c>
    </row>
    <row r="37" spans="1:14" hidden="1" outlineLevel="1">
      <c r="A37" s="178"/>
      <c r="B37" s="188" t="s">
        <v>696</v>
      </c>
      <c r="C37" s="184">
        <f t="shared" si="0"/>
        <v>0</v>
      </c>
      <c r="E37" s="180">
        <v>9</v>
      </c>
      <c r="F37" s="181">
        <v>9</v>
      </c>
      <c r="G37" s="189">
        <f t="shared" si="1"/>
        <v>0</v>
      </c>
      <c r="H37" s="186">
        <f t="shared" si="2"/>
        <v>5.2435329759962707E-2</v>
      </c>
      <c r="I37" s="186">
        <f t="shared" si="3"/>
        <v>6.1639613725087326E-2</v>
      </c>
      <c r="J37" s="180">
        <v>9</v>
      </c>
      <c r="K37" s="181">
        <v>9</v>
      </c>
      <c r="L37" s="189">
        <f t="shared" si="4"/>
        <v>0</v>
      </c>
      <c r="M37" s="186">
        <f t="shared" si="5"/>
        <v>5.2435329759962707E-2</v>
      </c>
      <c r="N37" s="187">
        <f t="shared" si="6"/>
        <v>6.1639613725087326E-2</v>
      </c>
    </row>
    <row r="38" spans="1:14" hidden="1" outlineLevel="1">
      <c r="A38" s="178"/>
      <c r="B38" s="188" t="s">
        <v>695</v>
      </c>
      <c r="C38" s="184">
        <f t="shared" si="0"/>
        <v>-83.333333333333343</v>
      </c>
      <c r="E38" s="180">
        <v>1</v>
      </c>
      <c r="F38" s="181">
        <v>6</v>
      </c>
      <c r="G38" s="189">
        <f t="shared" si="1"/>
        <v>-83.333333333333343</v>
      </c>
      <c r="H38" s="186">
        <f t="shared" si="2"/>
        <v>5.8261477511069686E-3</v>
      </c>
      <c r="I38" s="186">
        <f t="shared" si="3"/>
        <v>4.1093075816724882E-2</v>
      </c>
      <c r="J38" s="180">
        <v>1</v>
      </c>
      <c r="K38" s="181">
        <v>6</v>
      </c>
      <c r="L38" s="189">
        <f t="shared" si="4"/>
        <v>-83.333333333333343</v>
      </c>
      <c r="M38" s="186">
        <f t="shared" si="5"/>
        <v>5.8261477511069686E-3</v>
      </c>
      <c r="N38" s="187">
        <f t="shared" si="6"/>
        <v>4.1093075816724882E-2</v>
      </c>
    </row>
    <row r="39" spans="1:14" collapsed="1">
      <c r="A39" s="178" t="s">
        <v>1084</v>
      </c>
      <c r="B39" s="177" t="s">
        <v>273</v>
      </c>
      <c r="C39" s="184">
        <f t="shared" si="0"/>
        <v>18.763029881862405</v>
      </c>
      <c r="E39" s="180">
        <v>1709</v>
      </c>
      <c r="F39" s="181">
        <v>1439</v>
      </c>
      <c r="G39" s="189">
        <f t="shared" si="1"/>
        <v>18.763029881862405</v>
      </c>
      <c r="H39" s="186">
        <f t="shared" si="2"/>
        <v>9.9568865066418084</v>
      </c>
      <c r="I39" s="186">
        <f t="shared" si="3"/>
        <v>9.8554893500445182</v>
      </c>
      <c r="J39" s="180">
        <v>1709</v>
      </c>
      <c r="K39" s="181">
        <v>1439</v>
      </c>
      <c r="L39" s="189">
        <f t="shared" si="4"/>
        <v>18.763029881862405</v>
      </c>
      <c r="M39" s="186">
        <f t="shared" si="5"/>
        <v>9.9568865066418084</v>
      </c>
      <c r="N39" s="187">
        <f t="shared" si="6"/>
        <v>9.8554893500445182</v>
      </c>
    </row>
    <row r="40" spans="1:14" hidden="1" outlineLevel="1">
      <c r="A40" s="178"/>
      <c r="B40" s="188" t="s">
        <v>698</v>
      </c>
      <c r="C40" s="184">
        <f t="shared" si="0"/>
        <v>148.24561403508773</v>
      </c>
      <c r="E40" s="180">
        <v>566</v>
      </c>
      <c r="F40" s="181">
        <v>228</v>
      </c>
      <c r="G40" s="189">
        <f t="shared" si="1"/>
        <v>148.24561403508773</v>
      </c>
      <c r="H40" s="186">
        <f t="shared" si="2"/>
        <v>3.297599627126544</v>
      </c>
      <c r="I40" s="186">
        <f t="shared" si="3"/>
        <v>1.5615368810355457</v>
      </c>
      <c r="J40" s="180">
        <v>566</v>
      </c>
      <c r="K40" s="181">
        <v>228</v>
      </c>
      <c r="L40" s="189">
        <f t="shared" si="4"/>
        <v>148.24561403508773</v>
      </c>
      <c r="M40" s="186">
        <f t="shared" si="5"/>
        <v>3.297599627126544</v>
      </c>
      <c r="N40" s="187">
        <f t="shared" si="6"/>
        <v>1.5615368810355457</v>
      </c>
    </row>
    <row r="41" spans="1:14" hidden="1" outlineLevel="1">
      <c r="A41" s="178"/>
      <c r="B41" s="188" t="s">
        <v>702</v>
      </c>
      <c r="C41" s="184">
        <f t="shared" si="0"/>
        <v>-25.816993464052292</v>
      </c>
      <c r="E41" s="180">
        <v>227</v>
      </c>
      <c r="F41" s="181">
        <v>306</v>
      </c>
      <c r="G41" s="189">
        <f t="shared" si="1"/>
        <v>-25.816993464052292</v>
      </c>
      <c r="H41" s="186">
        <f t="shared" si="2"/>
        <v>1.3225355395012817</v>
      </c>
      <c r="I41" s="186">
        <f t="shared" si="3"/>
        <v>2.0957468666529691</v>
      </c>
      <c r="J41" s="180">
        <v>227</v>
      </c>
      <c r="K41" s="181">
        <v>306</v>
      </c>
      <c r="L41" s="189">
        <f t="shared" si="4"/>
        <v>-25.816993464052292</v>
      </c>
      <c r="M41" s="186">
        <f t="shared" si="5"/>
        <v>1.3225355395012817</v>
      </c>
      <c r="N41" s="187">
        <f t="shared" si="6"/>
        <v>2.0957468666529691</v>
      </c>
    </row>
    <row r="42" spans="1:14" hidden="1" outlineLevel="1">
      <c r="A42" s="178"/>
      <c r="B42" s="188" t="s">
        <v>940</v>
      </c>
      <c r="C42" s="184">
        <f t="shared" si="0"/>
        <v>-34.242424242424242</v>
      </c>
      <c r="E42" s="180">
        <v>217</v>
      </c>
      <c r="F42" s="181">
        <v>330</v>
      </c>
      <c r="G42" s="189">
        <f t="shared" si="1"/>
        <v>-34.242424242424242</v>
      </c>
      <c r="H42" s="186">
        <f t="shared" si="2"/>
        <v>1.264274061990212</v>
      </c>
      <c r="I42" s="186">
        <f t="shared" si="3"/>
        <v>2.2601191699198684</v>
      </c>
      <c r="J42" s="180">
        <v>217</v>
      </c>
      <c r="K42" s="181">
        <v>330</v>
      </c>
      <c r="L42" s="189">
        <f t="shared" si="4"/>
        <v>-34.242424242424242</v>
      </c>
      <c r="M42" s="186">
        <f t="shared" si="5"/>
        <v>1.264274061990212</v>
      </c>
      <c r="N42" s="187">
        <f t="shared" si="6"/>
        <v>2.2601191699198684</v>
      </c>
    </row>
    <row r="43" spans="1:14" hidden="1" outlineLevel="1">
      <c r="A43" s="178"/>
      <c r="B43" s="188" t="s">
        <v>700</v>
      </c>
      <c r="C43" s="184">
        <f t="shared" si="0"/>
        <v>21.764705882352942</v>
      </c>
      <c r="E43" s="180">
        <v>207</v>
      </c>
      <c r="F43" s="181">
        <v>170</v>
      </c>
      <c r="G43" s="189">
        <f t="shared" si="1"/>
        <v>21.764705882352942</v>
      </c>
      <c r="H43" s="186">
        <f t="shared" si="2"/>
        <v>1.2060125844791425</v>
      </c>
      <c r="I43" s="186">
        <f t="shared" si="3"/>
        <v>1.1643038148072049</v>
      </c>
      <c r="J43" s="180">
        <v>207</v>
      </c>
      <c r="K43" s="181">
        <v>170</v>
      </c>
      <c r="L43" s="189">
        <f t="shared" si="4"/>
        <v>21.764705882352942</v>
      </c>
      <c r="M43" s="186">
        <f t="shared" si="5"/>
        <v>1.2060125844791425</v>
      </c>
      <c r="N43" s="187">
        <f t="shared" si="6"/>
        <v>1.1643038148072049</v>
      </c>
    </row>
    <row r="44" spans="1:14" hidden="1" outlineLevel="1">
      <c r="A44" s="178"/>
      <c r="B44" s="188" t="s">
        <v>699</v>
      </c>
      <c r="C44" s="184">
        <f t="shared" si="0"/>
        <v>63.716814159292035</v>
      </c>
      <c r="E44" s="180">
        <v>185</v>
      </c>
      <c r="F44" s="181">
        <v>113</v>
      </c>
      <c r="G44" s="189">
        <f t="shared" si="1"/>
        <v>63.716814159292035</v>
      </c>
      <c r="H44" s="186">
        <f t="shared" si="2"/>
        <v>1.0778373339547891</v>
      </c>
      <c r="I44" s="186">
        <f t="shared" si="3"/>
        <v>0.7739195945483186</v>
      </c>
      <c r="J44" s="180">
        <v>185</v>
      </c>
      <c r="K44" s="181">
        <v>113</v>
      </c>
      <c r="L44" s="189">
        <f t="shared" si="4"/>
        <v>63.716814159292035</v>
      </c>
      <c r="M44" s="186">
        <f t="shared" si="5"/>
        <v>1.0778373339547891</v>
      </c>
      <c r="N44" s="187">
        <f t="shared" si="6"/>
        <v>0.7739195945483186</v>
      </c>
    </row>
    <row r="45" spans="1:14" hidden="1" outlineLevel="1">
      <c r="A45" s="178"/>
      <c r="B45" s="188" t="s">
        <v>701</v>
      </c>
      <c r="C45" s="184">
        <f t="shared" si="0"/>
        <v>-1.7341040462427744</v>
      </c>
      <c r="E45" s="180">
        <v>170</v>
      </c>
      <c r="F45" s="181">
        <v>173</v>
      </c>
      <c r="G45" s="189">
        <f t="shared" si="1"/>
        <v>-1.7341040462427744</v>
      </c>
      <c r="H45" s="186">
        <f t="shared" si="2"/>
        <v>0.99044511768818455</v>
      </c>
      <c r="I45" s="186">
        <f t="shared" si="3"/>
        <v>1.1848503527155674</v>
      </c>
      <c r="J45" s="180">
        <v>170</v>
      </c>
      <c r="K45" s="181">
        <v>173</v>
      </c>
      <c r="L45" s="189">
        <f t="shared" si="4"/>
        <v>-1.7341040462427744</v>
      </c>
      <c r="M45" s="186">
        <f t="shared" si="5"/>
        <v>0.99044511768818455</v>
      </c>
      <c r="N45" s="187">
        <f t="shared" si="6"/>
        <v>1.1848503527155674</v>
      </c>
    </row>
    <row r="46" spans="1:14" hidden="1" outlineLevel="1">
      <c r="A46" s="178"/>
      <c r="B46" s="188" t="s">
        <v>1017</v>
      </c>
      <c r="C46" s="184" t="str">
        <f t="shared" si="0"/>
        <v/>
      </c>
      <c r="E46" s="180">
        <v>55</v>
      </c>
      <c r="F46" s="181">
        <v>0</v>
      </c>
      <c r="G46" s="189" t="str">
        <f t="shared" si="1"/>
        <v/>
      </c>
      <c r="H46" s="186">
        <f t="shared" si="2"/>
        <v>0.32043812631088325</v>
      </c>
      <c r="I46" s="186" t="str">
        <f t="shared" si="3"/>
        <v/>
      </c>
      <c r="J46" s="180">
        <v>55</v>
      </c>
      <c r="K46" s="181">
        <v>0</v>
      </c>
      <c r="L46" s="189" t="str">
        <f t="shared" si="4"/>
        <v/>
      </c>
      <c r="M46" s="186">
        <f t="shared" si="5"/>
        <v>0.32043812631088325</v>
      </c>
      <c r="N46" s="187" t="str">
        <f t="shared" si="6"/>
        <v/>
      </c>
    </row>
    <row r="47" spans="1:14" hidden="1" outlineLevel="1">
      <c r="A47" s="178"/>
      <c r="B47" s="188" t="s">
        <v>705</v>
      </c>
      <c r="C47" s="184">
        <f t="shared" si="0"/>
        <v>48.148148148148145</v>
      </c>
      <c r="E47" s="180">
        <v>40</v>
      </c>
      <c r="F47" s="181">
        <v>27</v>
      </c>
      <c r="G47" s="189">
        <f t="shared" si="1"/>
        <v>48.148148148148145</v>
      </c>
      <c r="H47" s="186">
        <f t="shared" si="2"/>
        <v>0.23304591004427874</v>
      </c>
      <c r="I47" s="186">
        <f t="shared" si="3"/>
        <v>0.18491884117526197</v>
      </c>
      <c r="J47" s="180">
        <v>40</v>
      </c>
      <c r="K47" s="181">
        <v>27</v>
      </c>
      <c r="L47" s="189">
        <f t="shared" si="4"/>
        <v>48.148148148148145</v>
      </c>
      <c r="M47" s="186">
        <f t="shared" si="5"/>
        <v>0.23304591004427874</v>
      </c>
      <c r="N47" s="187">
        <f t="shared" si="6"/>
        <v>0.18491884117526197</v>
      </c>
    </row>
    <row r="48" spans="1:14" hidden="1" outlineLevel="1">
      <c r="A48" s="178"/>
      <c r="B48" s="188" t="s">
        <v>704</v>
      </c>
      <c r="C48" s="184">
        <f t="shared" si="0"/>
        <v>157.14285714285714</v>
      </c>
      <c r="E48" s="180">
        <v>18</v>
      </c>
      <c r="F48" s="181">
        <v>7</v>
      </c>
      <c r="G48" s="189">
        <f t="shared" si="1"/>
        <v>157.14285714285714</v>
      </c>
      <c r="H48" s="186">
        <f t="shared" si="2"/>
        <v>0.10487065951992541</v>
      </c>
      <c r="I48" s="186">
        <f t="shared" si="3"/>
        <v>4.7941921786179023E-2</v>
      </c>
      <c r="J48" s="180">
        <v>18</v>
      </c>
      <c r="K48" s="181">
        <v>7</v>
      </c>
      <c r="L48" s="189">
        <f t="shared" si="4"/>
        <v>157.14285714285714</v>
      </c>
      <c r="M48" s="186">
        <f t="shared" si="5"/>
        <v>0.10487065951992541</v>
      </c>
      <c r="N48" s="187">
        <f t="shared" si="6"/>
        <v>4.7941921786179023E-2</v>
      </c>
    </row>
    <row r="49" spans="1:14" hidden="1" outlineLevel="1">
      <c r="A49" s="178"/>
      <c r="B49" s="188" t="s">
        <v>703</v>
      </c>
      <c r="C49" s="184">
        <f t="shared" si="0"/>
        <v>-76.923076923076934</v>
      </c>
      <c r="E49" s="180">
        <v>15</v>
      </c>
      <c r="F49" s="181">
        <v>65</v>
      </c>
      <c r="G49" s="189">
        <f t="shared" si="1"/>
        <v>-76.923076923076934</v>
      </c>
      <c r="H49" s="186">
        <f t="shared" si="2"/>
        <v>8.7392216266604525E-2</v>
      </c>
      <c r="I49" s="186">
        <f t="shared" si="3"/>
        <v>0.4451749880145196</v>
      </c>
      <c r="J49" s="180">
        <v>15</v>
      </c>
      <c r="K49" s="181">
        <v>65</v>
      </c>
      <c r="L49" s="189">
        <f t="shared" si="4"/>
        <v>-76.923076923076934</v>
      </c>
      <c r="M49" s="186">
        <f t="shared" si="5"/>
        <v>8.7392216266604525E-2</v>
      </c>
      <c r="N49" s="187">
        <f t="shared" si="6"/>
        <v>0.4451749880145196</v>
      </c>
    </row>
    <row r="50" spans="1:14" hidden="1" outlineLevel="1">
      <c r="A50" s="178"/>
      <c r="B50" s="188" t="s">
        <v>709</v>
      </c>
      <c r="C50" s="184">
        <f t="shared" si="0"/>
        <v>500</v>
      </c>
      <c r="E50" s="180">
        <v>6</v>
      </c>
      <c r="F50" s="181">
        <v>1</v>
      </c>
      <c r="G50" s="189">
        <f t="shared" si="1"/>
        <v>500</v>
      </c>
      <c r="H50" s="186">
        <f t="shared" si="2"/>
        <v>3.4956886506641811E-2</v>
      </c>
      <c r="I50" s="186">
        <f t="shared" si="3"/>
        <v>6.8488459694541464E-3</v>
      </c>
      <c r="J50" s="180">
        <v>6</v>
      </c>
      <c r="K50" s="181">
        <v>1</v>
      </c>
      <c r="L50" s="189">
        <f t="shared" si="4"/>
        <v>500</v>
      </c>
      <c r="M50" s="186">
        <f t="shared" si="5"/>
        <v>3.4956886506641811E-2</v>
      </c>
      <c r="N50" s="187">
        <f t="shared" si="6"/>
        <v>6.8488459694541464E-3</v>
      </c>
    </row>
    <row r="51" spans="1:14" hidden="1" outlineLevel="1">
      <c r="A51" s="178"/>
      <c r="B51" s="188" t="s">
        <v>710</v>
      </c>
      <c r="C51" s="184">
        <f t="shared" si="0"/>
        <v>100</v>
      </c>
      <c r="E51" s="180">
        <v>2</v>
      </c>
      <c r="F51" s="181">
        <v>1</v>
      </c>
      <c r="G51" s="189">
        <f t="shared" si="1"/>
        <v>100</v>
      </c>
      <c r="H51" s="186">
        <f t="shared" si="2"/>
        <v>1.1652295502213937E-2</v>
      </c>
      <c r="I51" s="186">
        <f t="shared" si="3"/>
        <v>6.8488459694541464E-3</v>
      </c>
      <c r="J51" s="180">
        <v>2</v>
      </c>
      <c r="K51" s="181">
        <v>1</v>
      </c>
      <c r="L51" s="189">
        <f t="shared" si="4"/>
        <v>100</v>
      </c>
      <c r="M51" s="186">
        <f t="shared" si="5"/>
        <v>1.1652295502213937E-2</v>
      </c>
      <c r="N51" s="187">
        <f t="shared" si="6"/>
        <v>6.8488459694541464E-3</v>
      </c>
    </row>
    <row r="52" spans="1:14" hidden="1" outlineLevel="1">
      <c r="A52" s="178"/>
      <c r="B52" s="188" t="s">
        <v>706</v>
      </c>
      <c r="C52" s="184">
        <f t="shared" si="0"/>
        <v>-91.666666666666657</v>
      </c>
      <c r="E52" s="180">
        <v>1</v>
      </c>
      <c r="F52" s="181">
        <v>12</v>
      </c>
      <c r="G52" s="189">
        <f t="shared" si="1"/>
        <v>-91.666666666666657</v>
      </c>
      <c r="H52" s="186">
        <f t="shared" si="2"/>
        <v>5.8261477511069686E-3</v>
      </c>
      <c r="I52" s="186">
        <f t="shared" si="3"/>
        <v>8.2186151633449764E-2</v>
      </c>
      <c r="J52" s="180">
        <v>1</v>
      </c>
      <c r="K52" s="181">
        <v>12</v>
      </c>
      <c r="L52" s="189">
        <f t="shared" si="4"/>
        <v>-91.666666666666657</v>
      </c>
      <c r="M52" s="186">
        <f t="shared" si="5"/>
        <v>5.8261477511069686E-3</v>
      </c>
      <c r="N52" s="187">
        <f t="shared" si="6"/>
        <v>8.2186151633449764E-2</v>
      </c>
    </row>
    <row r="53" spans="1:14" hidden="1" outlineLevel="1">
      <c r="A53" s="178"/>
      <c r="B53" s="188" t="s">
        <v>939</v>
      </c>
      <c r="C53" s="184">
        <f t="shared" si="0"/>
        <v>-100</v>
      </c>
      <c r="E53" s="180">
        <v>0</v>
      </c>
      <c r="F53" s="181">
        <v>3</v>
      </c>
      <c r="G53" s="189">
        <f t="shared" si="1"/>
        <v>-100</v>
      </c>
      <c r="H53" s="186" t="str">
        <f t="shared" si="2"/>
        <v/>
      </c>
      <c r="I53" s="186">
        <f t="shared" si="3"/>
        <v>2.0546537908362441E-2</v>
      </c>
      <c r="J53" s="180">
        <v>0</v>
      </c>
      <c r="K53" s="181">
        <v>3</v>
      </c>
      <c r="L53" s="189">
        <f t="shared" si="4"/>
        <v>-100</v>
      </c>
      <c r="M53" s="186" t="str">
        <f t="shared" si="5"/>
        <v/>
      </c>
      <c r="N53" s="187">
        <f t="shared" si="6"/>
        <v>2.0546537908362441E-2</v>
      </c>
    </row>
    <row r="54" spans="1:14" hidden="1" outlineLevel="1">
      <c r="A54" s="178"/>
      <c r="B54" s="188" t="s">
        <v>707</v>
      </c>
      <c r="C54" s="184">
        <f t="shared" si="0"/>
        <v>-100</v>
      </c>
      <c r="E54" s="180">
        <v>0</v>
      </c>
      <c r="F54" s="181">
        <v>2</v>
      </c>
      <c r="G54" s="189">
        <f t="shared" si="1"/>
        <v>-100</v>
      </c>
      <c r="H54" s="186" t="str">
        <f t="shared" si="2"/>
        <v/>
      </c>
      <c r="I54" s="186">
        <f t="shared" si="3"/>
        <v>1.3697691938908293E-2</v>
      </c>
      <c r="J54" s="180">
        <v>0</v>
      </c>
      <c r="K54" s="181">
        <v>2</v>
      </c>
      <c r="L54" s="189">
        <f t="shared" si="4"/>
        <v>-100</v>
      </c>
      <c r="M54" s="186" t="str">
        <f t="shared" si="5"/>
        <v/>
      </c>
      <c r="N54" s="187">
        <f t="shared" si="6"/>
        <v>1.3697691938908293E-2</v>
      </c>
    </row>
    <row r="55" spans="1:14" hidden="1" outlineLevel="1">
      <c r="A55" s="178"/>
      <c r="B55" s="188" t="s">
        <v>708</v>
      </c>
      <c r="C55" s="184">
        <f t="shared" si="0"/>
        <v>-100</v>
      </c>
      <c r="E55" s="180">
        <v>0</v>
      </c>
      <c r="F55" s="181">
        <v>1</v>
      </c>
      <c r="G55" s="189">
        <f t="shared" si="1"/>
        <v>-100</v>
      </c>
      <c r="H55" s="186" t="str">
        <f t="shared" si="2"/>
        <v/>
      </c>
      <c r="I55" s="186">
        <f t="shared" si="3"/>
        <v>6.8488459694541464E-3</v>
      </c>
      <c r="J55" s="180">
        <v>0</v>
      </c>
      <c r="K55" s="181">
        <v>1</v>
      </c>
      <c r="L55" s="189">
        <f t="shared" si="4"/>
        <v>-100</v>
      </c>
      <c r="M55" s="186" t="str">
        <f t="shared" si="5"/>
        <v/>
      </c>
      <c r="N55" s="187">
        <f t="shared" si="6"/>
        <v>6.8488459694541464E-3</v>
      </c>
    </row>
    <row r="56" spans="1:14" collapsed="1">
      <c r="A56" s="178" t="s">
        <v>1142</v>
      </c>
      <c r="B56" s="177" t="s">
        <v>254</v>
      </c>
      <c r="C56" s="184">
        <f t="shared" si="0"/>
        <v>-20.757268424611226</v>
      </c>
      <c r="E56" s="180">
        <v>1172</v>
      </c>
      <c r="F56" s="181">
        <v>1479</v>
      </c>
      <c r="G56" s="189">
        <f t="shared" si="1"/>
        <v>-20.757268424611226</v>
      </c>
      <c r="H56" s="186">
        <f t="shared" si="2"/>
        <v>6.8282451642973667</v>
      </c>
      <c r="I56" s="186">
        <f t="shared" si="3"/>
        <v>10.129443188822682</v>
      </c>
      <c r="J56" s="180">
        <v>1172</v>
      </c>
      <c r="K56" s="181">
        <v>1479</v>
      </c>
      <c r="L56" s="189">
        <f t="shared" si="4"/>
        <v>-20.757268424611226</v>
      </c>
      <c r="M56" s="186">
        <f t="shared" si="5"/>
        <v>6.8282451642973667</v>
      </c>
      <c r="N56" s="187">
        <f t="shared" si="6"/>
        <v>10.129443188822682</v>
      </c>
    </row>
    <row r="57" spans="1:14" hidden="1" outlineLevel="1">
      <c r="A57" s="178"/>
      <c r="B57" s="188" t="s">
        <v>672</v>
      </c>
      <c r="C57" s="184">
        <f t="shared" si="0"/>
        <v>4.1958041958041958</v>
      </c>
      <c r="E57" s="180">
        <v>298</v>
      </c>
      <c r="F57" s="181">
        <v>286</v>
      </c>
      <c r="G57" s="189">
        <f t="shared" si="1"/>
        <v>4.1958041958041958</v>
      </c>
      <c r="H57" s="186">
        <f t="shared" si="2"/>
        <v>1.7361920298298763</v>
      </c>
      <c r="I57" s="186">
        <f t="shared" si="3"/>
        <v>1.9587699472638858</v>
      </c>
      <c r="J57" s="180">
        <v>298</v>
      </c>
      <c r="K57" s="181">
        <v>286</v>
      </c>
      <c r="L57" s="189">
        <f t="shared" si="4"/>
        <v>4.1958041958041958</v>
      </c>
      <c r="M57" s="186">
        <f t="shared" si="5"/>
        <v>1.7361920298298763</v>
      </c>
      <c r="N57" s="187">
        <f t="shared" si="6"/>
        <v>1.9587699472638858</v>
      </c>
    </row>
    <row r="58" spans="1:14" hidden="1" outlineLevel="1">
      <c r="A58" s="178"/>
      <c r="B58" s="188" t="s">
        <v>673</v>
      </c>
      <c r="C58" s="184">
        <f t="shared" si="0"/>
        <v>-15.181518151815181</v>
      </c>
      <c r="E58" s="180">
        <v>257</v>
      </c>
      <c r="F58" s="181">
        <v>303</v>
      </c>
      <c r="G58" s="189">
        <f t="shared" si="1"/>
        <v>-15.181518151815181</v>
      </c>
      <c r="H58" s="186">
        <f t="shared" si="2"/>
        <v>1.4973199720344907</v>
      </c>
      <c r="I58" s="186">
        <f t="shared" si="3"/>
        <v>2.0752003287446064</v>
      </c>
      <c r="J58" s="180">
        <v>257</v>
      </c>
      <c r="K58" s="181">
        <v>303</v>
      </c>
      <c r="L58" s="189">
        <f t="shared" si="4"/>
        <v>-15.181518151815181</v>
      </c>
      <c r="M58" s="186">
        <f t="shared" si="5"/>
        <v>1.4973199720344907</v>
      </c>
      <c r="N58" s="187">
        <f t="shared" si="6"/>
        <v>2.0752003287446064</v>
      </c>
    </row>
    <row r="59" spans="1:14" hidden="1" outlineLevel="1">
      <c r="A59" s="178"/>
      <c r="B59" s="188" t="s">
        <v>671</v>
      </c>
      <c r="C59" s="184">
        <f t="shared" si="0"/>
        <v>-41.414141414141412</v>
      </c>
      <c r="E59" s="180">
        <v>174</v>
      </c>
      <c r="F59" s="181">
        <v>297</v>
      </c>
      <c r="G59" s="189">
        <f t="shared" si="1"/>
        <v>-41.414141414141412</v>
      </c>
      <c r="H59" s="186">
        <f t="shared" si="2"/>
        <v>1.0137497086926124</v>
      </c>
      <c r="I59" s="186">
        <f t="shared" si="3"/>
        <v>2.0341072529278819</v>
      </c>
      <c r="J59" s="180">
        <v>174</v>
      </c>
      <c r="K59" s="181">
        <v>297</v>
      </c>
      <c r="L59" s="189">
        <f t="shared" si="4"/>
        <v>-41.414141414141412</v>
      </c>
      <c r="M59" s="186">
        <f t="shared" si="5"/>
        <v>1.0137497086926124</v>
      </c>
      <c r="N59" s="187">
        <f t="shared" si="6"/>
        <v>2.0341072529278819</v>
      </c>
    </row>
    <row r="60" spans="1:14" hidden="1" outlineLevel="1">
      <c r="A60" s="178"/>
      <c r="B60" s="188" t="s">
        <v>1103</v>
      </c>
      <c r="C60" s="184" t="str">
        <f t="shared" si="0"/>
        <v/>
      </c>
      <c r="E60" s="180">
        <v>160</v>
      </c>
      <c r="F60" s="181">
        <v>0</v>
      </c>
      <c r="G60" s="189" t="str">
        <f t="shared" si="1"/>
        <v/>
      </c>
      <c r="H60" s="186">
        <f t="shared" si="2"/>
        <v>0.93218364017711497</v>
      </c>
      <c r="I60" s="186" t="str">
        <f t="shared" si="3"/>
        <v/>
      </c>
      <c r="J60" s="180">
        <v>160</v>
      </c>
      <c r="K60" s="181">
        <v>0</v>
      </c>
      <c r="L60" s="189" t="str">
        <f t="shared" si="4"/>
        <v/>
      </c>
      <c r="M60" s="186">
        <f t="shared" si="5"/>
        <v>0.93218364017711497</v>
      </c>
      <c r="N60" s="187" t="str">
        <f t="shared" si="6"/>
        <v/>
      </c>
    </row>
    <row r="61" spans="1:14" hidden="1" outlineLevel="1">
      <c r="A61" s="178"/>
      <c r="B61" s="188" t="s">
        <v>674</v>
      </c>
      <c r="C61" s="184">
        <f t="shared" si="0"/>
        <v>-77.64705882352942</v>
      </c>
      <c r="E61" s="180">
        <v>95</v>
      </c>
      <c r="F61" s="181">
        <v>425</v>
      </c>
      <c r="G61" s="189">
        <f t="shared" si="1"/>
        <v>-77.64705882352942</v>
      </c>
      <c r="H61" s="186">
        <f t="shared" si="2"/>
        <v>0.55348403635516197</v>
      </c>
      <c r="I61" s="186">
        <f t="shared" si="3"/>
        <v>2.9107595370180128</v>
      </c>
      <c r="J61" s="180">
        <v>95</v>
      </c>
      <c r="K61" s="181">
        <v>425</v>
      </c>
      <c r="L61" s="189">
        <f t="shared" si="4"/>
        <v>-77.64705882352942</v>
      </c>
      <c r="M61" s="186">
        <f t="shared" si="5"/>
        <v>0.55348403635516197</v>
      </c>
      <c r="N61" s="187">
        <f t="shared" si="6"/>
        <v>2.9107595370180128</v>
      </c>
    </row>
    <row r="62" spans="1:14" hidden="1" outlineLevel="1">
      <c r="A62" s="178"/>
      <c r="B62" s="188" t="s">
        <v>675</v>
      </c>
      <c r="C62" s="184">
        <f t="shared" si="0"/>
        <v>183.33333333333331</v>
      </c>
      <c r="E62" s="180">
        <v>68</v>
      </c>
      <c r="F62" s="181">
        <v>24</v>
      </c>
      <c r="G62" s="189">
        <f t="shared" si="1"/>
        <v>183.33333333333331</v>
      </c>
      <c r="H62" s="186">
        <f t="shared" si="2"/>
        <v>0.39617804707527388</v>
      </c>
      <c r="I62" s="186">
        <f t="shared" si="3"/>
        <v>0.16437230326689953</v>
      </c>
      <c r="J62" s="180">
        <v>68</v>
      </c>
      <c r="K62" s="181">
        <v>24</v>
      </c>
      <c r="L62" s="189">
        <f t="shared" si="4"/>
        <v>183.33333333333331</v>
      </c>
      <c r="M62" s="186">
        <f t="shared" si="5"/>
        <v>0.39617804707527388</v>
      </c>
      <c r="N62" s="187">
        <f t="shared" si="6"/>
        <v>0.16437230326689953</v>
      </c>
    </row>
    <row r="63" spans="1:14" hidden="1" outlineLevel="1">
      <c r="A63" s="178"/>
      <c r="B63" s="188" t="s">
        <v>677</v>
      </c>
      <c r="C63" s="184">
        <f t="shared" si="0"/>
        <v>-14.285714285714285</v>
      </c>
      <c r="E63" s="180">
        <v>60</v>
      </c>
      <c r="F63" s="181">
        <v>70</v>
      </c>
      <c r="G63" s="189">
        <f t="shared" si="1"/>
        <v>-14.285714285714285</v>
      </c>
      <c r="H63" s="186">
        <f t="shared" si="2"/>
        <v>0.3495688650664181</v>
      </c>
      <c r="I63" s="186">
        <f t="shared" si="3"/>
        <v>0.47941921786179026</v>
      </c>
      <c r="J63" s="180">
        <v>60</v>
      </c>
      <c r="K63" s="181">
        <v>70</v>
      </c>
      <c r="L63" s="189">
        <f t="shared" si="4"/>
        <v>-14.285714285714285</v>
      </c>
      <c r="M63" s="186">
        <f t="shared" si="5"/>
        <v>0.3495688650664181</v>
      </c>
      <c r="N63" s="187">
        <f t="shared" si="6"/>
        <v>0.47941921786179026</v>
      </c>
    </row>
    <row r="64" spans="1:14" hidden="1" outlineLevel="1">
      <c r="A64" s="178"/>
      <c r="B64" s="188" t="s">
        <v>676</v>
      </c>
      <c r="C64" s="184">
        <f t="shared" si="0"/>
        <v>11.320754716981133</v>
      </c>
      <c r="E64" s="180">
        <v>59</v>
      </c>
      <c r="F64" s="181">
        <v>53</v>
      </c>
      <c r="G64" s="189">
        <f t="shared" si="1"/>
        <v>11.320754716981133</v>
      </c>
      <c r="H64" s="186">
        <f t="shared" si="2"/>
        <v>0.34374271731531109</v>
      </c>
      <c r="I64" s="186">
        <f t="shared" si="3"/>
        <v>0.36298883638106982</v>
      </c>
      <c r="J64" s="180">
        <v>59</v>
      </c>
      <c r="K64" s="181">
        <v>53</v>
      </c>
      <c r="L64" s="189">
        <f t="shared" si="4"/>
        <v>11.320754716981133</v>
      </c>
      <c r="M64" s="186">
        <f t="shared" si="5"/>
        <v>0.34374271731531109</v>
      </c>
      <c r="N64" s="187">
        <f t="shared" si="6"/>
        <v>0.36298883638106982</v>
      </c>
    </row>
    <row r="65" spans="1:14" hidden="1" outlineLevel="1">
      <c r="A65" s="178"/>
      <c r="B65" s="188" t="s">
        <v>679</v>
      </c>
      <c r="C65" s="184">
        <f t="shared" si="0"/>
        <v>-91.666666666666657</v>
      </c>
      <c r="E65" s="180">
        <v>1</v>
      </c>
      <c r="F65" s="181">
        <v>12</v>
      </c>
      <c r="G65" s="189">
        <f t="shared" si="1"/>
        <v>-91.666666666666657</v>
      </c>
      <c r="H65" s="186">
        <f t="shared" si="2"/>
        <v>5.8261477511069686E-3</v>
      </c>
      <c r="I65" s="186">
        <f t="shared" si="3"/>
        <v>8.2186151633449764E-2</v>
      </c>
      <c r="J65" s="180">
        <v>1</v>
      </c>
      <c r="K65" s="181">
        <v>12</v>
      </c>
      <c r="L65" s="189">
        <f t="shared" si="4"/>
        <v>-91.666666666666657</v>
      </c>
      <c r="M65" s="186">
        <f t="shared" si="5"/>
        <v>5.8261477511069686E-3</v>
      </c>
      <c r="N65" s="187">
        <f t="shared" si="6"/>
        <v>8.2186151633449764E-2</v>
      </c>
    </row>
    <row r="66" spans="1:14" hidden="1" outlineLevel="1">
      <c r="A66" s="178"/>
      <c r="B66" s="188" t="s">
        <v>678</v>
      </c>
      <c r="C66" s="184">
        <f t="shared" si="0"/>
        <v>-100</v>
      </c>
      <c r="E66" s="180">
        <v>0</v>
      </c>
      <c r="F66" s="181">
        <v>9</v>
      </c>
      <c r="G66" s="189">
        <f t="shared" si="1"/>
        <v>-100</v>
      </c>
      <c r="H66" s="186" t="str">
        <f t="shared" si="2"/>
        <v/>
      </c>
      <c r="I66" s="186">
        <f t="shared" si="3"/>
        <v>6.1639613725087326E-2</v>
      </c>
      <c r="J66" s="180">
        <v>0</v>
      </c>
      <c r="K66" s="181">
        <v>9</v>
      </c>
      <c r="L66" s="189">
        <f t="shared" si="4"/>
        <v>-100</v>
      </c>
      <c r="M66" s="186" t="str">
        <f t="shared" si="5"/>
        <v/>
      </c>
      <c r="N66" s="187">
        <f t="shared" si="6"/>
        <v>6.1639613725087326E-2</v>
      </c>
    </row>
    <row r="67" spans="1:14" collapsed="1">
      <c r="A67" s="178" t="s">
        <v>1143</v>
      </c>
      <c r="B67" s="177" t="s">
        <v>242</v>
      </c>
      <c r="C67" s="184">
        <f t="shared" si="0"/>
        <v>22.888888888888889</v>
      </c>
      <c r="E67" s="180">
        <v>1106</v>
      </c>
      <c r="F67" s="181">
        <v>900</v>
      </c>
      <c r="G67" s="189">
        <f t="shared" si="1"/>
        <v>22.888888888888889</v>
      </c>
      <c r="H67" s="186">
        <f t="shared" si="2"/>
        <v>6.4437194127243069</v>
      </c>
      <c r="I67" s="186">
        <f t="shared" si="3"/>
        <v>6.1639613725087319</v>
      </c>
      <c r="J67" s="180">
        <v>1106</v>
      </c>
      <c r="K67" s="181">
        <v>900</v>
      </c>
      <c r="L67" s="189">
        <f t="shared" si="4"/>
        <v>22.888888888888889</v>
      </c>
      <c r="M67" s="186">
        <f t="shared" si="5"/>
        <v>6.4437194127243069</v>
      </c>
      <c r="N67" s="187">
        <f t="shared" si="6"/>
        <v>6.1639613725087319</v>
      </c>
    </row>
    <row r="68" spans="1:14" hidden="1" outlineLevel="1">
      <c r="A68" s="178"/>
      <c r="B68" s="188" t="s">
        <v>754</v>
      </c>
      <c r="C68" s="184">
        <f t="shared" si="0"/>
        <v>180.39215686274511</v>
      </c>
      <c r="E68" s="180">
        <v>286</v>
      </c>
      <c r="F68" s="181">
        <v>102</v>
      </c>
      <c r="G68" s="189">
        <f t="shared" si="1"/>
        <v>180.39215686274511</v>
      </c>
      <c r="H68" s="186">
        <f t="shared" si="2"/>
        <v>1.6662782568165928</v>
      </c>
      <c r="I68" s="186">
        <f t="shared" si="3"/>
        <v>0.69858228888432294</v>
      </c>
      <c r="J68" s="180">
        <v>286</v>
      </c>
      <c r="K68" s="181">
        <v>102</v>
      </c>
      <c r="L68" s="189">
        <f t="shared" si="4"/>
        <v>180.39215686274511</v>
      </c>
      <c r="M68" s="186">
        <f t="shared" si="5"/>
        <v>1.6662782568165928</v>
      </c>
      <c r="N68" s="187">
        <f t="shared" si="6"/>
        <v>0.69858228888432294</v>
      </c>
    </row>
    <row r="69" spans="1:14" hidden="1" outlineLevel="1">
      <c r="A69" s="178"/>
      <c r="B69" s="188" t="s">
        <v>757</v>
      </c>
      <c r="C69" s="184">
        <f t="shared" si="0"/>
        <v>-15.126050420168067</v>
      </c>
      <c r="E69" s="180">
        <v>202</v>
      </c>
      <c r="F69" s="181">
        <v>238</v>
      </c>
      <c r="G69" s="189">
        <f t="shared" si="1"/>
        <v>-15.126050420168067</v>
      </c>
      <c r="H69" s="186">
        <f t="shared" si="2"/>
        <v>1.1768818457236077</v>
      </c>
      <c r="I69" s="186">
        <f t="shared" si="3"/>
        <v>1.6300253407300871</v>
      </c>
      <c r="J69" s="180">
        <v>202</v>
      </c>
      <c r="K69" s="181">
        <v>238</v>
      </c>
      <c r="L69" s="189">
        <f t="shared" si="4"/>
        <v>-15.126050420168067</v>
      </c>
      <c r="M69" s="186">
        <f t="shared" si="5"/>
        <v>1.1768818457236077</v>
      </c>
      <c r="N69" s="187">
        <f t="shared" si="6"/>
        <v>1.6300253407300871</v>
      </c>
    </row>
    <row r="70" spans="1:14" hidden="1" outlineLevel="1">
      <c r="A70" s="178"/>
      <c r="B70" s="188" t="s">
        <v>755</v>
      </c>
      <c r="C70" s="184">
        <f t="shared" si="0"/>
        <v>34.693877551020407</v>
      </c>
      <c r="E70" s="180">
        <v>132</v>
      </c>
      <c r="F70" s="181">
        <v>98</v>
      </c>
      <c r="G70" s="189">
        <f t="shared" si="1"/>
        <v>34.693877551020407</v>
      </c>
      <c r="H70" s="186">
        <f t="shared" si="2"/>
        <v>0.76905150314611981</v>
      </c>
      <c r="I70" s="186">
        <f t="shared" si="3"/>
        <v>0.67118690500650635</v>
      </c>
      <c r="J70" s="180">
        <v>132</v>
      </c>
      <c r="K70" s="181">
        <v>98</v>
      </c>
      <c r="L70" s="189">
        <f t="shared" si="4"/>
        <v>34.693877551020407</v>
      </c>
      <c r="M70" s="186">
        <f t="shared" si="5"/>
        <v>0.76905150314611981</v>
      </c>
      <c r="N70" s="187">
        <f t="shared" si="6"/>
        <v>0.67118690500650635</v>
      </c>
    </row>
    <row r="71" spans="1:14" hidden="1" outlineLevel="1">
      <c r="A71" s="178"/>
      <c r="B71" s="188" t="s">
        <v>759</v>
      </c>
      <c r="C71" s="184">
        <f t="shared" si="0"/>
        <v>24.096385542168676</v>
      </c>
      <c r="E71" s="180">
        <v>103</v>
      </c>
      <c r="F71" s="181">
        <v>83</v>
      </c>
      <c r="G71" s="189">
        <f t="shared" si="1"/>
        <v>24.096385542168676</v>
      </c>
      <c r="H71" s="186">
        <f t="shared" si="2"/>
        <v>0.60009321836401774</v>
      </c>
      <c r="I71" s="186">
        <f t="shared" si="3"/>
        <v>0.56845421546469421</v>
      </c>
      <c r="J71" s="180">
        <v>103</v>
      </c>
      <c r="K71" s="181">
        <v>83</v>
      </c>
      <c r="L71" s="189">
        <f t="shared" si="4"/>
        <v>24.096385542168676</v>
      </c>
      <c r="M71" s="186">
        <f t="shared" si="5"/>
        <v>0.60009321836401774</v>
      </c>
      <c r="N71" s="187">
        <f t="shared" si="6"/>
        <v>0.56845421546469421</v>
      </c>
    </row>
    <row r="72" spans="1:14" hidden="1" outlineLevel="1">
      <c r="A72" s="178"/>
      <c r="B72" s="188" t="s">
        <v>753</v>
      </c>
      <c r="C72" s="184">
        <f t="shared" si="0"/>
        <v>162.85714285714286</v>
      </c>
      <c r="E72" s="180">
        <v>92</v>
      </c>
      <c r="F72" s="181">
        <v>35</v>
      </c>
      <c r="G72" s="189">
        <f t="shared" si="1"/>
        <v>162.85714285714286</v>
      </c>
      <c r="H72" s="186">
        <f t="shared" si="2"/>
        <v>0.53600559310184104</v>
      </c>
      <c r="I72" s="186">
        <f t="shared" si="3"/>
        <v>0.23970960893089513</v>
      </c>
      <c r="J72" s="180">
        <v>92</v>
      </c>
      <c r="K72" s="181">
        <v>35</v>
      </c>
      <c r="L72" s="189">
        <f t="shared" si="4"/>
        <v>162.85714285714286</v>
      </c>
      <c r="M72" s="186">
        <f t="shared" si="5"/>
        <v>0.53600559310184104</v>
      </c>
      <c r="N72" s="187">
        <f t="shared" si="6"/>
        <v>0.23970960893089513</v>
      </c>
    </row>
    <row r="73" spans="1:14" hidden="1" outlineLevel="1">
      <c r="A73" s="178"/>
      <c r="B73" s="188" t="s">
        <v>756</v>
      </c>
      <c r="C73" s="184">
        <f t="shared" si="0"/>
        <v>-30.476190476190478</v>
      </c>
      <c r="E73" s="180">
        <v>73</v>
      </c>
      <c r="F73" s="181">
        <v>105</v>
      </c>
      <c r="G73" s="189">
        <f t="shared" si="1"/>
        <v>-30.476190476190478</v>
      </c>
      <c r="H73" s="186">
        <f t="shared" si="2"/>
        <v>0.42530878583080867</v>
      </c>
      <c r="I73" s="186">
        <f t="shared" si="3"/>
        <v>0.71912882679268542</v>
      </c>
      <c r="J73" s="180">
        <v>73</v>
      </c>
      <c r="K73" s="181">
        <v>105</v>
      </c>
      <c r="L73" s="189">
        <f t="shared" si="4"/>
        <v>-30.476190476190478</v>
      </c>
      <c r="M73" s="186">
        <f t="shared" si="5"/>
        <v>0.42530878583080867</v>
      </c>
      <c r="N73" s="187">
        <f t="shared" si="6"/>
        <v>0.71912882679268542</v>
      </c>
    </row>
    <row r="74" spans="1:14" hidden="1" outlineLevel="1">
      <c r="A74" s="178"/>
      <c r="B74" s="188" t="s">
        <v>761</v>
      </c>
      <c r="C74" s="184">
        <f t="shared" ref="C74:C137" si="7">IF(K74=0,"",SUM(((J74-K74)/K74)*100))</f>
        <v>-9.0909090909090917</v>
      </c>
      <c r="E74" s="180">
        <v>60</v>
      </c>
      <c r="F74" s="181">
        <v>66</v>
      </c>
      <c r="G74" s="189">
        <f t="shared" ref="G74:G137" si="8">IF(F74=0,"",SUM(((E74-F74)/F74)*100))</f>
        <v>-9.0909090909090917</v>
      </c>
      <c r="H74" s="186">
        <f t="shared" ref="H74:H137" si="9">IF(E74=0,"",SUM((E74/CntPeriod)*100))</f>
        <v>0.3495688650664181</v>
      </c>
      <c r="I74" s="186">
        <f t="shared" ref="I74:I137" si="10">IF(F74=0,"",SUM((F74/CntPeriodPrevYear)*100))</f>
        <v>0.45202383398397372</v>
      </c>
      <c r="J74" s="180">
        <v>60</v>
      </c>
      <c r="K74" s="181">
        <v>66</v>
      </c>
      <c r="L74" s="189">
        <f t="shared" ref="L74:L137" si="11">IF(K74=0,"",SUM(((J74-K74)/K74)*100))</f>
        <v>-9.0909090909090917</v>
      </c>
      <c r="M74" s="186">
        <f t="shared" ref="M74:M137" si="12">IF(J74=0,"",SUM((J74/CntYearAck)*100))</f>
        <v>0.3495688650664181</v>
      </c>
      <c r="N74" s="187">
        <f t="shared" ref="N74:N137" si="13">IF(K74=0,"",SUM((K74/CntPrevYearAck)*100))</f>
        <v>0.45202383398397372</v>
      </c>
    </row>
    <row r="75" spans="1:14" hidden="1" outlineLevel="1">
      <c r="A75" s="178"/>
      <c r="B75" s="188" t="s">
        <v>758</v>
      </c>
      <c r="C75" s="184">
        <f t="shared" si="7"/>
        <v>9.433962264150944</v>
      </c>
      <c r="E75" s="180">
        <v>58</v>
      </c>
      <c r="F75" s="181">
        <v>53</v>
      </c>
      <c r="G75" s="189">
        <f t="shared" si="8"/>
        <v>9.433962264150944</v>
      </c>
      <c r="H75" s="186">
        <f t="shared" si="9"/>
        <v>0.33791656956420413</v>
      </c>
      <c r="I75" s="186">
        <f t="shared" si="10"/>
        <v>0.36298883638106982</v>
      </c>
      <c r="J75" s="180">
        <v>58</v>
      </c>
      <c r="K75" s="181">
        <v>53</v>
      </c>
      <c r="L75" s="189">
        <f t="shared" si="11"/>
        <v>9.433962264150944</v>
      </c>
      <c r="M75" s="186">
        <f t="shared" si="12"/>
        <v>0.33791656956420413</v>
      </c>
      <c r="N75" s="187">
        <f t="shared" si="13"/>
        <v>0.36298883638106982</v>
      </c>
    </row>
    <row r="76" spans="1:14" hidden="1" outlineLevel="1">
      <c r="A76" s="178"/>
      <c r="B76" s="188" t="s">
        <v>763</v>
      </c>
      <c r="C76" s="184">
        <f t="shared" si="7"/>
        <v>143.47826086956522</v>
      </c>
      <c r="E76" s="180">
        <v>56</v>
      </c>
      <c r="F76" s="181">
        <v>23</v>
      </c>
      <c r="G76" s="189">
        <f t="shared" si="8"/>
        <v>143.47826086956522</v>
      </c>
      <c r="H76" s="186">
        <f t="shared" si="9"/>
        <v>0.32626427406199021</v>
      </c>
      <c r="I76" s="186">
        <f t="shared" si="10"/>
        <v>0.15752345729744538</v>
      </c>
      <c r="J76" s="180">
        <v>56</v>
      </c>
      <c r="K76" s="181">
        <v>23</v>
      </c>
      <c r="L76" s="189">
        <f t="shared" si="11"/>
        <v>143.47826086956522</v>
      </c>
      <c r="M76" s="186">
        <f t="shared" si="12"/>
        <v>0.32626427406199021</v>
      </c>
      <c r="N76" s="187">
        <f t="shared" si="13"/>
        <v>0.15752345729744538</v>
      </c>
    </row>
    <row r="77" spans="1:14" hidden="1" outlineLevel="1">
      <c r="A77" s="178"/>
      <c r="B77" s="188" t="s">
        <v>766</v>
      </c>
      <c r="C77" s="184">
        <f t="shared" si="7"/>
        <v>-12.5</v>
      </c>
      <c r="E77" s="180">
        <v>14</v>
      </c>
      <c r="F77" s="181">
        <v>16</v>
      </c>
      <c r="G77" s="189">
        <f t="shared" si="8"/>
        <v>-12.5</v>
      </c>
      <c r="H77" s="186">
        <f t="shared" si="9"/>
        <v>8.1566068515497553E-2</v>
      </c>
      <c r="I77" s="186">
        <f t="shared" si="10"/>
        <v>0.10958153551126634</v>
      </c>
      <c r="J77" s="180">
        <v>14</v>
      </c>
      <c r="K77" s="181">
        <v>16</v>
      </c>
      <c r="L77" s="189">
        <f t="shared" si="11"/>
        <v>-12.5</v>
      </c>
      <c r="M77" s="186">
        <f t="shared" si="12"/>
        <v>8.1566068515497553E-2</v>
      </c>
      <c r="N77" s="187">
        <f t="shared" si="13"/>
        <v>0.10958153551126634</v>
      </c>
    </row>
    <row r="78" spans="1:14" hidden="1" outlineLevel="1">
      <c r="A78" s="178"/>
      <c r="B78" s="188" t="s">
        <v>762</v>
      </c>
      <c r="C78" s="184">
        <f t="shared" si="7"/>
        <v>-81.395348837209298</v>
      </c>
      <c r="E78" s="180">
        <v>8</v>
      </c>
      <c r="F78" s="181">
        <v>43</v>
      </c>
      <c r="G78" s="189">
        <f t="shared" si="8"/>
        <v>-81.395348837209298</v>
      </c>
      <c r="H78" s="186">
        <f t="shared" si="9"/>
        <v>4.6609182008855748E-2</v>
      </c>
      <c r="I78" s="186">
        <f t="shared" si="10"/>
        <v>0.29450037668652834</v>
      </c>
      <c r="J78" s="180">
        <v>8</v>
      </c>
      <c r="K78" s="181">
        <v>43</v>
      </c>
      <c r="L78" s="189">
        <f t="shared" si="11"/>
        <v>-81.395348837209298</v>
      </c>
      <c r="M78" s="186">
        <f t="shared" si="12"/>
        <v>4.6609182008855748E-2</v>
      </c>
      <c r="N78" s="187">
        <f t="shared" si="13"/>
        <v>0.29450037668652834</v>
      </c>
    </row>
    <row r="79" spans="1:14" hidden="1" outlineLevel="1">
      <c r="A79" s="178"/>
      <c r="B79" s="188" t="s">
        <v>760</v>
      </c>
      <c r="C79" s="184">
        <f t="shared" si="7"/>
        <v>-55.555555555555557</v>
      </c>
      <c r="E79" s="180">
        <v>8</v>
      </c>
      <c r="F79" s="181">
        <v>18</v>
      </c>
      <c r="G79" s="189">
        <f t="shared" si="8"/>
        <v>-55.555555555555557</v>
      </c>
      <c r="H79" s="186">
        <f t="shared" si="9"/>
        <v>4.6609182008855748E-2</v>
      </c>
      <c r="I79" s="186">
        <f t="shared" si="10"/>
        <v>0.12327922745017465</v>
      </c>
      <c r="J79" s="180">
        <v>8</v>
      </c>
      <c r="K79" s="181">
        <v>18</v>
      </c>
      <c r="L79" s="189">
        <f t="shared" si="11"/>
        <v>-55.555555555555557</v>
      </c>
      <c r="M79" s="186">
        <f t="shared" si="12"/>
        <v>4.6609182008855748E-2</v>
      </c>
      <c r="N79" s="187">
        <f t="shared" si="13"/>
        <v>0.12327922745017465</v>
      </c>
    </row>
    <row r="80" spans="1:14" hidden="1" outlineLevel="1">
      <c r="A80" s="178"/>
      <c r="B80" s="188" t="s">
        <v>767</v>
      </c>
      <c r="C80" s="184">
        <f t="shared" si="7"/>
        <v>-12.5</v>
      </c>
      <c r="E80" s="180">
        <v>7</v>
      </c>
      <c r="F80" s="181">
        <v>8</v>
      </c>
      <c r="G80" s="189">
        <f t="shared" si="8"/>
        <v>-12.5</v>
      </c>
      <c r="H80" s="186">
        <f t="shared" si="9"/>
        <v>4.0783034257748776E-2</v>
      </c>
      <c r="I80" s="186">
        <f t="shared" si="10"/>
        <v>5.4790767755633171E-2</v>
      </c>
      <c r="J80" s="180">
        <v>7</v>
      </c>
      <c r="K80" s="181">
        <v>8</v>
      </c>
      <c r="L80" s="189">
        <f t="shared" si="11"/>
        <v>-12.5</v>
      </c>
      <c r="M80" s="186">
        <f t="shared" si="12"/>
        <v>4.0783034257748776E-2</v>
      </c>
      <c r="N80" s="187">
        <f t="shared" si="13"/>
        <v>5.4790767755633171E-2</v>
      </c>
    </row>
    <row r="81" spans="1:14" hidden="1" outlineLevel="1">
      <c r="A81" s="178"/>
      <c r="B81" s="188" t="s">
        <v>765</v>
      </c>
      <c r="C81" s="184">
        <f t="shared" si="7"/>
        <v>0</v>
      </c>
      <c r="E81" s="180">
        <v>4</v>
      </c>
      <c r="F81" s="181">
        <v>4</v>
      </c>
      <c r="G81" s="189">
        <f t="shared" si="8"/>
        <v>0</v>
      </c>
      <c r="H81" s="186">
        <f t="shared" si="9"/>
        <v>2.3304591004427874E-2</v>
      </c>
      <c r="I81" s="186">
        <f t="shared" si="10"/>
        <v>2.7395383877816586E-2</v>
      </c>
      <c r="J81" s="180">
        <v>4</v>
      </c>
      <c r="K81" s="181">
        <v>4</v>
      </c>
      <c r="L81" s="189">
        <f t="shared" si="11"/>
        <v>0</v>
      </c>
      <c r="M81" s="186">
        <f t="shared" si="12"/>
        <v>2.3304591004427874E-2</v>
      </c>
      <c r="N81" s="187">
        <f t="shared" si="13"/>
        <v>2.7395383877816586E-2</v>
      </c>
    </row>
    <row r="82" spans="1:14" hidden="1" outlineLevel="1">
      <c r="A82" s="178"/>
      <c r="B82" s="188" t="s">
        <v>764</v>
      </c>
      <c r="C82" s="184">
        <f t="shared" si="7"/>
        <v>-66.666666666666657</v>
      </c>
      <c r="E82" s="180">
        <v>2</v>
      </c>
      <c r="F82" s="181">
        <v>6</v>
      </c>
      <c r="G82" s="189">
        <f t="shared" si="8"/>
        <v>-66.666666666666657</v>
      </c>
      <c r="H82" s="186">
        <f t="shared" si="9"/>
        <v>1.1652295502213937E-2</v>
      </c>
      <c r="I82" s="186">
        <f t="shared" si="10"/>
        <v>4.1093075816724882E-2</v>
      </c>
      <c r="J82" s="180">
        <v>2</v>
      </c>
      <c r="K82" s="181">
        <v>6</v>
      </c>
      <c r="L82" s="189">
        <f t="shared" si="11"/>
        <v>-66.666666666666657</v>
      </c>
      <c r="M82" s="186">
        <f t="shared" si="12"/>
        <v>1.1652295502213937E-2</v>
      </c>
      <c r="N82" s="187">
        <f t="shared" si="13"/>
        <v>4.1093075816724882E-2</v>
      </c>
    </row>
    <row r="83" spans="1:14" hidden="1" outlineLevel="1">
      <c r="A83" s="178"/>
      <c r="B83" s="188" t="s">
        <v>769</v>
      </c>
      <c r="C83" s="184" t="str">
        <f t="shared" si="7"/>
        <v/>
      </c>
      <c r="E83" s="180">
        <v>1</v>
      </c>
      <c r="F83" s="181">
        <v>0</v>
      </c>
      <c r="G83" s="189" t="str">
        <f t="shared" si="8"/>
        <v/>
      </c>
      <c r="H83" s="186">
        <f t="shared" si="9"/>
        <v>5.8261477511069686E-3</v>
      </c>
      <c r="I83" s="186" t="str">
        <f t="shared" si="10"/>
        <v/>
      </c>
      <c r="J83" s="180">
        <v>1</v>
      </c>
      <c r="K83" s="181">
        <v>0</v>
      </c>
      <c r="L83" s="189" t="str">
        <f t="shared" si="11"/>
        <v/>
      </c>
      <c r="M83" s="186">
        <f t="shared" si="12"/>
        <v>5.8261477511069686E-3</v>
      </c>
      <c r="N83" s="187" t="str">
        <f t="shared" si="13"/>
        <v/>
      </c>
    </row>
    <row r="84" spans="1:14" hidden="1" outlineLevel="1">
      <c r="A84" s="178"/>
      <c r="B84" s="188" t="s">
        <v>770</v>
      </c>
      <c r="C84" s="184">
        <f t="shared" si="7"/>
        <v>-100</v>
      </c>
      <c r="E84" s="180">
        <v>0</v>
      </c>
      <c r="F84" s="181">
        <v>1</v>
      </c>
      <c r="G84" s="189">
        <f t="shared" si="8"/>
        <v>-100</v>
      </c>
      <c r="H84" s="186" t="str">
        <f t="shared" si="9"/>
        <v/>
      </c>
      <c r="I84" s="186">
        <f t="shared" si="10"/>
        <v>6.8488459694541464E-3</v>
      </c>
      <c r="J84" s="180">
        <v>0</v>
      </c>
      <c r="K84" s="181">
        <v>1</v>
      </c>
      <c r="L84" s="189">
        <f t="shared" si="11"/>
        <v>-100</v>
      </c>
      <c r="M84" s="186" t="str">
        <f t="shared" si="12"/>
        <v/>
      </c>
      <c r="N84" s="187">
        <f t="shared" si="13"/>
        <v>6.8488459694541464E-3</v>
      </c>
    </row>
    <row r="85" spans="1:14" hidden="1" outlineLevel="1">
      <c r="A85" s="178"/>
      <c r="B85" s="188" t="s">
        <v>768</v>
      </c>
      <c r="C85" s="184">
        <f t="shared" si="7"/>
        <v>-100</v>
      </c>
      <c r="E85" s="180">
        <v>0</v>
      </c>
      <c r="F85" s="181">
        <v>1</v>
      </c>
      <c r="G85" s="189">
        <f t="shared" si="8"/>
        <v>-100</v>
      </c>
      <c r="H85" s="186" t="str">
        <f t="shared" si="9"/>
        <v/>
      </c>
      <c r="I85" s="186">
        <f t="shared" si="10"/>
        <v>6.8488459694541464E-3</v>
      </c>
      <c r="J85" s="180">
        <v>0</v>
      </c>
      <c r="K85" s="181">
        <v>1</v>
      </c>
      <c r="L85" s="189">
        <f t="shared" si="11"/>
        <v>-100</v>
      </c>
      <c r="M85" s="186" t="str">
        <f t="shared" si="12"/>
        <v/>
      </c>
      <c r="N85" s="187">
        <f t="shared" si="13"/>
        <v>6.8488459694541464E-3</v>
      </c>
    </row>
    <row r="86" spans="1:14" collapsed="1">
      <c r="A86" s="178" t="s">
        <v>1028</v>
      </c>
      <c r="B86" s="177" t="s">
        <v>357</v>
      </c>
      <c r="C86" s="184">
        <f t="shared" si="7"/>
        <v>73.954983922829584</v>
      </c>
      <c r="E86" s="180">
        <v>1082</v>
      </c>
      <c r="F86" s="181">
        <v>622</v>
      </c>
      <c r="G86" s="189">
        <f t="shared" si="8"/>
        <v>73.954983922829584</v>
      </c>
      <c r="H86" s="186">
        <f t="shared" si="9"/>
        <v>6.3038918666977386</v>
      </c>
      <c r="I86" s="186">
        <f t="shared" si="10"/>
        <v>4.2599821930004795</v>
      </c>
      <c r="J86" s="180">
        <v>1082</v>
      </c>
      <c r="K86" s="181">
        <v>622</v>
      </c>
      <c r="L86" s="189">
        <f t="shared" si="11"/>
        <v>73.954983922829584</v>
      </c>
      <c r="M86" s="186">
        <f t="shared" si="12"/>
        <v>6.3038918666977386</v>
      </c>
      <c r="N86" s="187">
        <f t="shared" si="13"/>
        <v>4.2599821930004795</v>
      </c>
    </row>
    <row r="87" spans="1:14" hidden="1" outlineLevel="1">
      <c r="A87" s="178"/>
      <c r="B87" s="188" t="s">
        <v>732</v>
      </c>
      <c r="C87" s="184">
        <f t="shared" si="7"/>
        <v>319.56521739130437</v>
      </c>
      <c r="E87" s="180">
        <v>193</v>
      </c>
      <c r="F87" s="181">
        <v>46</v>
      </c>
      <c r="G87" s="189">
        <f t="shared" si="8"/>
        <v>319.56521739130437</v>
      </c>
      <c r="H87" s="186">
        <f t="shared" si="9"/>
        <v>1.1244465159636448</v>
      </c>
      <c r="I87" s="186">
        <f t="shared" si="10"/>
        <v>0.31504691459489076</v>
      </c>
      <c r="J87" s="180">
        <v>193</v>
      </c>
      <c r="K87" s="181">
        <v>46</v>
      </c>
      <c r="L87" s="189">
        <f t="shared" si="11"/>
        <v>319.56521739130437</v>
      </c>
      <c r="M87" s="186">
        <f t="shared" si="12"/>
        <v>1.1244465159636448</v>
      </c>
      <c r="N87" s="187">
        <f t="shared" si="13"/>
        <v>0.31504691459489076</v>
      </c>
    </row>
    <row r="88" spans="1:14" hidden="1" outlineLevel="1">
      <c r="A88" s="178"/>
      <c r="B88" s="188" t="s">
        <v>735</v>
      </c>
      <c r="C88" s="184">
        <f t="shared" si="7"/>
        <v>177.77777777777777</v>
      </c>
      <c r="E88" s="180">
        <v>125</v>
      </c>
      <c r="F88" s="181">
        <v>45</v>
      </c>
      <c r="G88" s="189">
        <f t="shared" si="8"/>
        <v>177.77777777777777</v>
      </c>
      <c r="H88" s="186">
        <f t="shared" si="9"/>
        <v>0.72826846888837093</v>
      </c>
      <c r="I88" s="186">
        <f t="shared" si="10"/>
        <v>0.30819806862543658</v>
      </c>
      <c r="J88" s="180">
        <v>125</v>
      </c>
      <c r="K88" s="181">
        <v>45</v>
      </c>
      <c r="L88" s="189">
        <f t="shared" si="11"/>
        <v>177.77777777777777</v>
      </c>
      <c r="M88" s="186">
        <f t="shared" si="12"/>
        <v>0.72826846888837093</v>
      </c>
      <c r="N88" s="187">
        <f t="shared" si="13"/>
        <v>0.30819806862543658</v>
      </c>
    </row>
    <row r="89" spans="1:14" hidden="1" outlineLevel="1">
      <c r="A89" s="178"/>
      <c r="B89" s="188" t="s">
        <v>729</v>
      </c>
      <c r="C89" s="184">
        <f t="shared" si="7"/>
        <v>210</v>
      </c>
      <c r="E89" s="180">
        <v>124</v>
      </c>
      <c r="F89" s="181">
        <v>40</v>
      </c>
      <c r="G89" s="189">
        <f t="shared" si="8"/>
        <v>210</v>
      </c>
      <c r="H89" s="186">
        <f t="shared" si="9"/>
        <v>0.72244232113726403</v>
      </c>
      <c r="I89" s="186">
        <f t="shared" si="10"/>
        <v>0.27395383877816587</v>
      </c>
      <c r="J89" s="180">
        <v>124</v>
      </c>
      <c r="K89" s="181">
        <v>40</v>
      </c>
      <c r="L89" s="189">
        <f t="shared" si="11"/>
        <v>210</v>
      </c>
      <c r="M89" s="186">
        <f t="shared" si="12"/>
        <v>0.72244232113726403</v>
      </c>
      <c r="N89" s="187">
        <f t="shared" si="13"/>
        <v>0.27395383877816587</v>
      </c>
    </row>
    <row r="90" spans="1:14" hidden="1" outlineLevel="1">
      <c r="A90" s="178"/>
      <c r="B90" s="188" t="s">
        <v>736</v>
      </c>
      <c r="C90" s="184">
        <f t="shared" si="7"/>
        <v>339.13043478260869</v>
      </c>
      <c r="E90" s="180">
        <v>101</v>
      </c>
      <c r="F90" s="181">
        <v>23</v>
      </c>
      <c r="G90" s="189">
        <f t="shared" si="8"/>
        <v>339.13043478260869</v>
      </c>
      <c r="H90" s="186">
        <f t="shared" si="9"/>
        <v>0.58844092286180383</v>
      </c>
      <c r="I90" s="186">
        <f t="shared" si="10"/>
        <v>0.15752345729744538</v>
      </c>
      <c r="J90" s="180">
        <v>101</v>
      </c>
      <c r="K90" s="181">
        <v>23</v>
      </c>
      <c r="L90" s="189">
        <f t="shared" si="11"/>
        <v>339.13043478260869</v>
      </c>
      <c r="M90" s="186">
        <f t="shared" si="12"/>
        <v>0.58844092286180383</v>
      </c>
      <c r="N90" s="187">
        <f t="shared" si="13"/>
        <v>0.15752345729744538</v>
      </c>
    </row>
    <row r="91" spans="1:14" hidden="1" outlineLevel="1">
      <c r="A91" s="178"/>
      <c r="B91" s="188" t="s">
        <v>740</v>
      </c>
      <c r="C91" s="184">
        <f t="shared" si="7"/>
        <v>217.85714285714283</v>
      </c>
      <c r="E91" s="180">
        <v>89</v>
      </c>
      <c r="F91" s="181">
        <v>28</v>
      </c>
      <c r="G91" s="189">
        <f t="shared" si="8"/>
        <v>217.85714285714283</v>
      </c>
      <c r="H91" s="186">
        <f t="shared" si="9"/>
        <v>0.51852714984852022</v>
      </c>
      <c r="I91" s="186">
        <f t="shared" si="10"/>
        <v>0.19176768714471609</v>
      </c>
      <c r="J91" s="180">
        <v>89</v>
      </c>
      <c r="K91" s="181">
        <v>28</v>
      </c>
      <c r="L91" s="189">
        <f t="shared" si="11"/>
        <v>217.85714285714283</v>
      </c>
      <c r="M91" s="186">
        <f t="shared" si="12"/>
        <v>0.51852714984852022</v>
      </c>
      <c r="N91" s="187">
        <f t="shared" si="13"/>
        <v>0.19176768714471609</v>
      </c>
    </row>
    <row r="92" spans="1:14" hidden="1" outlineLevel="1">
      <c r="A92" s="178"/>
      <c r="B92" s="188" t="s">
        <v>730</v>
      </c>
      <c r="C92" s="184">
        <f t="shared" si="7"/>
        <v>-7.9545454545454541</v>
      </c>
      <c r="E92" s="180">
        <v>81</v>
      </c>
      <c r="F92" s="181">
        <v>88</v>
      </c>
      <c r="G92" s="189">
        <f t="shared" si="8"/>
        <v>-7.9545454545454541</v>
      </c>
      <c r="H92" s="186">
        <f t="shared" si="9"/>
        <v>0.47191796783966439</v>
      </c>
      <c r="I92" s="186">
        <f t="shared" si="10"/>
        <v>0.60269844531196493</v>
      </c>
      <c r="J92" s="180">
        <v>81</v>
      </c>
      <c r="K92" s="181">
        <v>88</v>
      </c>
      <c r="L92" s="189">
        <f t="shared" si="11"/>
        <v>-7.9545454545454541</v>
      </c>
      <c r="M92" s="186">
        <f t="shared" si="12"/>
        <v>0.47191796783966439</v>
      </c>
      <c r="N92" s="187">
        <f t="shared" si="13"/>
        <v>0.60269844531196493</v>
      </c>
    </row>
    <row r="93" spans="1:14" hidden="1" outlineLevel="1">
      <c r="A93" s="178"/>
      <c r="B93" s="188" t="s">
        <v>731</v>
      </c>
      <c r="C93" s="184">
        <f t="shared" si="7"/>
        <v>108.8235294117647</v>
      </c>
      <c r="E93" s="180">
        <v>71</v>
      </c>
      <c r="F93" s="181">
        <v>34</v>
      </c>
      <c r="G93" s="189">
        <f t="shared" si="8"/>
        <v>108.8235294117647</v>
      </c>
      <c r="H93" s="186">
        <f t="shared" si="9"/>
        <v>0.41365649032859475</v>
      </c>
      <c r="I93" s="186">
        <f t="shared" si="10"/>
        <v>0.23286076296144101</v>
      </c>
      <c r="J93" s="180">
        <v>71</v>
      </c>
      <c r="K93" s="181">
        <v>34</v>
      </c>
      <c r="L93" s="189">
        <f t="shared" si="11"/>
        <v>108.8235294117647</v>
      </c>
      <c r="M93" s="186">
        <f t="shared" si="12"/>
        <v>0.41365649032859475</v>
      </c>
      <c r="N93" s="187">
        <f t="shared" si="13"/>
        <v>0.23286076296144101</v>
      </c>
    </row>
    <row r="94" spans="1:14" hidden="1" outlineLevel="1">
      <c r="A94" s="178"/>
      <c r="B94" s="188" t="s">
        <v>734</v>
      </c>
      <c r="C94" s="184">
        <f t="shared" si="7"/>
        <v>7.1428571428571423</v>
      </c>
      <c r="E94" s="180">
        <v>45</v>
      </c>
      <c r="F94" s="181">
        <v>42</v>
      </c>
      <c r="G94" s="189">
        <f t="shared" si="8"/>
        <v>7.1428571428571423</v>
      </c>
      <c r="H94" s="186">
        <f t="shared" si="9"/>
        <v>0.26217664879981356</v>
      </c>
      <c r="I94" s="186">
        <f t="shared" si="10"/>
        <v>0.28765153071707417</v>
      </c>
      <c r="J94" s="180">
        <v>45</v>
      </c>
      <c r="K94" s="181">
        <v>42</v>
      </c>
      <c r="L94" s="189">
        <f t="shared" si="11"/>
        <v>7.1428571428571423</v>
      </c>
      <c r="M94" s="186">
        <f t="shared" si="12"/>
        <v>0.26217664879981356</v>
      </c>
      <c r="N94" s="187">
        <f t="shared" si="13"/>
        <v>0.28765153071707417</v>
      </c>
    </row>
    <row r="95" spans="1:14" hidden="1" outlineLevel="1">
      <c r="A95" s="178"/>
      <c r="B95" s="188" t="s">
        <v>737</v>
      </c>
      <c r="C95" s="184">
        <f t="shared" si="7"/>
        <v>77.272727272727266</v>
      </c>
      <c r="E95" s="180">
        <v>39</v>
      </c>
      <c r="F95" s="181">
        <v>22</v>
      </c>
      <c r="G95" s="189">
        <f t="shared" si="8"/>
        <v>77.272727272727266</v>
      </c>
      <c r="H95" s="186">
        <f t="shared" si="9"/>
        <v>0.22721976229317176</v>
      </c>
      <c r="I95" s="186">
        <f t="shared" si="10"/>
        <v>0.15067461132799123</v>
      </c>
      <c r="J95" s="180">
        <v>39</v>
      </c>
      <c r="K95" s="181">
        <v>22</v>
      </c>
      <c r="L95" s="189">
        <f t="shared" si="11"/>
        <v>77.272727272727266</v>
      </c>
      <c r="M95" s="186">
        <f t="shared" si="12"/>
        <v>0.22721976229317176</v>
      </c>
      <c r="N95" s="187">
        <f t="shared" si="13"/>
        <v>0.15067461132799123</v>
      </c>
    </row>
    <row r="96" spans="1:14" hidden="1" outlineLevel="1">
      <c r="A96" s="178"/>
      <c r="B96" s="188" t="s">
        <v>738</v>
      </c>
      <c r="C96" s="184">
        <f t="shared" si="7"/>
        <v>-17.391304347826086</v>
      </c>
      <c r="E96" s="180">
        <v>38</v>
      </c>
      <c r="F96" s="181">
        <v>46</v>
      </c>
      <c r="G96" s="189">
        <f t="shared" si="8"/>
        <v>-17.391304347826086</v>
      </c>
      <c r="H96" s="186">
        <f t="shared" si="9"/>
        <v>0.2213936145420648</v>
      </c>
      <c r="I96" s="186">
        <f t="shared" si="10"/>
        <v>0.31504691459489076</v>
      </c>
      <c r="J96" s="180">
        <v>38</v>
      </c>
      <c r="K96" s="181">
        <v>46</v>
      </c>
      <c r="L96" s="189">
        <f t="shared" si="11"/>
        <v>-17.391304347826086</v>
      </c>
      <c r="M96" s="186">
        <f t="shared" si="12"/>
        <v>0.2213936145420648</v>
      </c>
      <c r="N96" s="187">
        <f t="shared" si="13"/>
        <v>0.31504691459489076</v>
      </c>
    </row>
    <row r="97" spans="1:14" hidden="1" outlineLevel="1">
      <c r="A97" s="178"/>
      <c r="B97" s="188" t="s">
        <v>739</v>
      </c>
      <c r="C97" s="184">
        <f t="shared" si="7"/>
        <v>117.64705882352942</v>
      </c>
      <c r="E97" s="180">
        <v>37</v>
      </c>
      <c r="F97" s="181">
        <v>17</v>
      </c>
      <c r="G97" s="189">
        <f t="shared" si="8"/>
        <v>117.64705882352942</v>
      </c>
      <c r="H97" s="186">
        <f t="shared" si="9"/>
        <v>0.21556746679095781</v>
      </c>
      <c r="I97" s="186">
        <f t="shared" si="10"/>
        <v>0.1164303814807205</v>
      </c>
      <c r="J97" s="180">
        <v>37</v>
      </c>
      <c r="K97" s="181">
        <v>17</v>
      </c>
      <c r="L97" s="189">
        <f t="shared" si="11"/>
        <v>117.64705882352942</v>
      </c>
      <c r="M97" s="186">
        <f t="shared" si="12"/>
        <v>0.21556746679095781</v>
      </c>
      <c r="N97" s="187">
        <f t="shared" si="13"/>
        <v>0.1164303814807205</v>
      </c>
    </row>
    <row r="98" spans="1:14" hidden="1" outlineLevel="1">
      <c r="A98" s="178"/>
      <c r="B98" s="188" t="s">
        <v>744</v>
      </c>
      <c r="C98" s="184">
        <f t="shared" si="7"/>
        <v>0</v>
      </c>
      <c r="E98" s="180">
        <v>29</v>
      </c>
      <c r="F98" s="181">
        <v>29</v>
      </c>
      <c r="G98" s="189">
        <f t="shared" si="8"/>
        <v>0</v>
      </c>
      <c r="H98" s="186">
        <f t="shared" si="9"/>
        <v>0.16895828478210206</v>
      </c>
      <c r="I98" s="186">
        <f t="shared" si="10"/>
        <v>0.1986165331141703</v>
      </c>
      <c r="J98" s="180">
        <v>29</v>
      </c>
      <c r="K98" s="181">
        <v>29</v>
      </c>
      <c r="L98" s="189">
        <f t="shared" si="11"/>
        <v>0</v>
      </c>
      <c r="M98" s="186">
        <f t="shared" si="12"/>
        <v>0.16895828478210206</v>
      </c>
      <c r="N98" s="187">
        <f t="shared" si="13"/>
        <v>0.1986165331141703</v>
      </c>
    </row>
    <row r="99" spans="1:14" hidden="1" outlineLevel="1">
      <c r="A99" s="178"/>
      <c r="B99" s="188" t="s">
        <v>745</v>
      </c>
      <c r="C99" s="184">
        <f t="shared" si="7"/>
        <v>18.75</v>
      </c>
      <c r="E99" s="180">
        <v>19</v>
      </c>
      <c r="F99" s="181">
        <v>16</v>
      </c>
      <c r="G99" s="189">
        <f t="shared" si="8"/>
        <v>18.75</v>
      </c>
      <c r="H99" s="186">
        <f t="shared" si="9"/>
        <v>0.1106968072710324</v>
      </c>
      <c r="I99" s="186">
        <f t="shared" si="10"/>
        <v>0.10958153551126634</v>
      </c>
      <c r="J99" s="180">
        <v>19</v>
      </c>
      <c r="K99" s="181">
        <v>16</v>
      </c>
      <c r="L99" s="189">
        <f t="shared" si="11"/>
        <v>18.75</v>
      </c>
      <c r="M99" s="186">
        <f t="shared" si="12"/>
        <v>0.1106968072710324</v>
      </c>
      <c r="N99" s="187">
        <f t="shared" si="13"/>
        <v>0.10958153551126634</v>
      </c>
    </row>
    <row r="100" spans="1:14" hidden="1" outlineLevel="1">
      <c r="A100" s="178"/>
      <c r="B100" s="188" t="s">
        <v>747</v>
      </c>
      <c r="C100" s="184">
        <f t="shared" si="7"/>
        <v>137.5</v>
      </c>
      <c r="E100" s="180">
        <v>19</v>
      </c>
      <c r="F100" s="181">
        <v>8</v>
      </c>
      <c r="G100" s="189">
        <f t="shared" si="8"/>
        <v>137.5</v>
      </c>
      <c r="H100" s="186">
        <f t="shared" si="9"/>
        <v>0.1106968072710324</v>
      </c>
      <c r="I100" s="186">
        <f t="shared" si="10"/>
        <v>5.4790767755633171E-2</v>
      </c>
      <c r="J100" s="180">
        <v>19</v>
      </c>
      <c r="K100" s="181">
        <v>8</v>
      </c>
      <c r="L100" s="189">
        <f t="shared" si="11"/>
        <v>137.5</v>
      </c>
      <c r="M100" s="186">
        <f t="shared" si="12"/>
        <v>0.1106968072710324</v>
      </c>
      <c r="N100" s="187">
        <f t="shared" si="13"/>
        <v>5.4790767755633171E-2</v>
      </c>
    </row>
    <row r="101" spans="1:14" hidden="1" outlineLevel="1">
      <c r="A101" s="178"/>
      <c r="B101" s="188" t="s">
        <v>752</v>
      </c>
      <c r="C101" s="184">
        <f t="shared" si="7"/>
        <v>50</v>
      </c>
      <c r="E101" s="180">
        <v>18</v>
      </c>
      <c r="F101" s="181">
        <v>12</v>
      </c>
      <c r="G101" s="189">
        <f t="shared" si="8"/>
        <v>50</v>
      </c>
      <c r="H101" s="186">
        <f t="shared" si="9"/>
        <v>0.10487065951992541</v>
      </c>
      <c r="I101" s="186">
        <f t="shared" si="10"/>
        <v>8.2186151633449764E-2</v>
      </c>
      <c r="J101" s="180">
        <v>18</v>
      </c>
      <c r="K101" s="181">
        <v>12</v>
      </c>
      <c r="L101" s="189">
        <f t="shared" si="11"/>
        <v>50</v>
      </c>
      <c r="M101" s="186">
        <f t="shared" si="12"/>
        <v>0.10487065951992541</v>
      </c>
      <c r="N101" s="187">
        <f t="shared" si="13"/>
        <v>8.2186151633449764E-2</v>
      </c>
    </row>
    <row r="102" spans="1:14" hidden="1" outlineLevel="1">
      <c r="A102" s="178"/>
      <c r="B102" s="188" t="s">
        <v>733</v>
      </c>
      <c r="C102" s="184">
        <f t="shared" si="7"/>
        <v>-77.922077922077932</v>
      </c>
      <c r="E102" s="180">
        <v>17</v>
      </c>
      <c r="F102" s="181">
        <v>77</v>
      </c>
      <c r="G102" s="189">
        <f t="shared" si="8"/>
        <v>-77.922077922077932</v>
      </c>
      <c r="H102" s="186">
        <f t="shared" si="9"/>
        <v>9.9044511768818469E-2</v>
      </c>
      <c r="I102" s="186">
        <f t="shared" si="10"/>
        <v>0.52736113964796927</v>
      </c>
      <c r="J102" s="180">
        <v>17</v>
      </c>
      <c r="K102" s="181">
        <v>77</v>
      </c>
      <c r="L102" s="189">
        <f t="shared" si="11"/>
        <v>-77.922077922077932</v>
      </c>
      <c r="M102" s="186">
        <f t="shared" si="12"/>
        <v>9.9044511768818469E-2</v>
      </c>
      <c r="N102" s="187">
        <f t="shared" si="13"/>
        <v>0.52736113964796927</v>
      </c>
    </row>
    <row r="103" spans="1:14" hidden="1" outlineLevel="1">
      <c r="A103" s="178"/>
      <c r="B103" s="188" t="s">
        <v>1104</v>
      </c>
      <c r="C103" s="184" t="str">
        <f t="shared" si="7"/>
        <v/>
      </c>
      <c r="E103" s="180">
        <v>10</v>
      </c>
      <c r="F103" s="181">
        <v>0</v>
      </c>
      <c r="G103" s="189" t="str">
        <f t="shared" si="8"/>
        <v/>
      </c>
      <c r="H103" s="186">
        <f t="shared" si="9"/>
        <v>5.8261477511069686E-2</v>
      </c>
      <c r="I103" s="186" t="str">
        <f t="shared" si="10"/>
        <v/>
      </c>
      <c r="J103" s="180">
        <v>10</v>
      </c>
      <c r="K103" s="181">
        <v>0</v>
      </c>
      <c r="L103" s="189" t="str">
        <f t="shared" si="11"/>
        <v/>
      </c>
      <c r="M103" s="186">
        <f t="shared" si="12"/>
        <v>5.8261477511069686E-2</v>
      </c>
      <c r="N103" s="187" t="str">
        <f t="shared" si="13"/>
        <v/>
      </c>
    </row>
    <row r="104" spans="1:14" hidden="1" outlineLevel="1">
      <c r="A104" s="178"/>
      <c r="B104" s="188" t="s">
        <v>749</v>
      </c>
      <c r="C104" s="184">
        <f t="shared" si="7"/>
        <v>33.333333333333329</v>
      </c>
      <c r="E104" s="180">
        <v>8</v>
      </c>
      <c r="F104" s="181">
        <v>6</v>
      </c>
      <c r="G104" s="189">
        <f t="shared" si="8"/>
        <v>33.333333333333329</v>
      </c>
      <c r="H104" s="186">
        <f t="shared" si="9"/>
        <v>4.6609182008855748E-2</v>
      </c>
      <c r="I104" s="186">
        <f t="shared" si="10"/>
        <v>4.1093075816724882E-2</v>
      </c>
      <c r="J104" s="180">
        <v>8</v>
      </c>
      <c r="K104" s="181">
        <v>6</v>
      </c>
      <c r="L104" s="189">
        <f t="shared" si="11"/>
        <v>33.333333333333329</v>
      </c>
      <c r="M104" s="186">
        <f t="shared" si="12"/>
        <v>4.6609182008855748E-2</v>
      </c>
      <c r="N104" s="187">
        <f t="shared" si="13"/>
        <v>4.1093075816724882E-2</v>
      </c>
    </row>
    <row r="105" spans="1:14" hidden="1" outlineLevel="1">
      <c r="A105" s="178"/>
      <c r="B105" s="188" t="s">
        <v>741</v>
      </c>
      <c r="C105" s="184">
        <f t="shared" si="7"/>
        <v>-58.333333333333336</v>
      </c>
      <c r="E105" s="180">
        <v>5</v>
      </c>
      <c r="F105" s="181">
        <v>12</v>
      </c>
      <c r="G105" s="189">
        <f t="shared" si="8"/>
        <v>-58.333333333333336</v>
      </c>
      <c r="H105" s="186">
        <f t="shared" si="9"/>
        <v>2.9130738755534843E-2</v>
      </c>
      <c r="I105" s="186">
        <f t="shared" si="10"/>
        <v>8.2186151633449764E-2</v>
      </c>
      <c r="J105" s="180">
        <v>5</v>
      </c>
      <c r="K105" s="181">
        <v>12</v>
      </c>
      <c r="L105" s="189">
        <f t="shared" si="11"/>
        <v>-58.333333333333336</v>
      </c>
      <c r="M105" s="186">
        <f t="shared" si="12"/>
        <v>2.9130738755534843E-2</v>
      </c>
      <c r="N105" s="187">
        <f t="shared" si="13"/>
        <v>8.2186151633449764E-2</v>
      </c>
    </row>
    <row r="106" spans="1:14" hidden="1" outlineLevel="1">
      <c r="A106" s="178"/>
      <c r="B106" s="188" t="s">
        <v>751</v>
      </c>
      <c r="C106" s="184">
        <f t="shared" si="7"/>
        <v>25</v>
      </c>
      <c r="E106" s="180">
        <v>5</v>
      </c>
      <c r="F106" s="181">
        <v>4</v>
      </c>
      <c r="G106" s="189">
        <f t="shared" si="8"/>
        <v>25</v>
      </c>
      <c r="H106" s="186">
        <f t="shared" si="9"/>
        <v>2.9130738755534843E-2</v>
      </c>
      <c r="I106" s="186">
        <f t="shared" si="10"/>
        <v>2.7395383877816586E-2</v>
      </c>
      <c r="J106" s="180">
        <v>5</v>
      </c>
      <c r="K106" s="181">
        <v>4</v>
      </c>
      <c r="L106" s="189">
        <f t="shared" si="11"/>
        <v>25</v>
      </c>
      <c r="M106" s="186">
        <f t="shared" si="12"/>
        <v>2.9130738755534843E-2</v>
      </c>
      <c r="N106" s="187">
        <f t="shared" si="13"/>
        <v>2.7395383877816586E-2</v>
      </c>
    </row>
    <row r="107" spans="1:14" hidden="1" outlineLevel="1">
      <c r="A107" s="178"/>
      <c r="B107" s="188" t="s">
        <v>742</v>
      </c>
      <c r="C107" s="184" t="str">
        <f t="shared" si="7"/>
        <v/>
      </c>
      <c r="E107" s="180">
        <v>4</v>
      </c>
      <c r="F107" s="181">
        <v>0</v>
      </c>
      <c r="G107" s="189" t="str">
        <f t="shared" si="8"/>
        <v/>
      </c>
      <c r="H107" s="186">
        <f t="shared" si="9"/>
        <v>2.3304591004427874E-2</v>
      </c>
      <c r="I107" s="186" t="str">
        <f t="shared" si="10"/>
        <v/>
      </c>
      <c r="J107" s="180">
        <v>4</v>
      </c>
      <c r="K107" s="181">
        <v>0</v>
      </c>
      <c r="L107" s="189" t="str">
        <f t="shared" si="11"/>
        <v/>
      </c>
      <c r="M107" s="186">
        <f t="shared" si="12"/>
        <v>2.3304591004427874E-2</v>
      </c>
      <c r="N107" s="187" t="str">
        <f t="shared" si="13"/>
        <v/>
      </c>
    </row>
    <row r="108" spans="1:14" hidden="1" outlineLevel="1">
      <c r="A108" s="178"/>
      <c r="B108" s="188" t="s">
        <v>743</v>
      </c>
      <c r="C108" s="184">
        <f t="shared" si="7"/>
        <v>-78.571428571428569</v>
      </c>
      <c r="E108" s="180">
        <v>3</v>
      </c>
      <c r="F108" s="181">
        <v>14</v>
      </c>
      <c r="G108" s="189">
        <f t="shared" si="8"/>
        <v>-78.571428571428569</v>
      </c>
      <c r="H108" s="186">
        <f t="shared" si="9"/>
        <v>1.7478443253320906E-2</v>
      </c>
      <c r="I108" s="186">
        <f t="shared" si="10"/>
        <v>9.5883843572358046E-2</v>
      </c>
      <c r="J108" s="180">
        <v>3</v>
      </c>
      <c r="K108" s="181">
        <v>14</v>
      </c>
      <c r="L108" s="189">
        <f t="shared" si="11"/>
        <v>-78.571428571428569</v>
      </c>
      <c r="M108" s="186">
        <f t="shared" si="12"/>
        <v>1.7478443253320906E-2</v>
      </c>
      <c r="N108" s="187">
        <f t="shared" si="13"/>
        <v>9.5883843572358046E-2</v>
      </c>
    </row>
    <row r="109" spans="1:14" hidden="1" outlineLevel="1">
      <c r="A109" s="178"/>
      <c r="B109" s="188" t="s">
        <v>748</v>
      </c>
      <c r="C109" s="184">
        <f t="shared" si="7"/>
        <v>0</v>
      </c>
      <c r="E109" s="180">
        <v>2</v>
      </c>
      <c r="F109" s="181">
        <v>2</v>
      </c>
      <c r="G109" s="189">
        <f t="shared" si="8"/>
        <v>0</v>
      </c>
      <c r="H109" s="186">
        <f t="shared" si="9"/>
        <v>1.1652295502213937E-2</v>
      </c>
      <c r="I109" s="186">
        <f t="shared" si="10"/>
        <v>1.3697691938908293E-2</v>
      </c>
      <c r="J109" s="180">
        <v>2</v>
      </c>
      <c r="K109" s="181">
        <v>2</v>
      </c>
      <c r="L109" s="189">
        <f t="shared" si="11"/>
        <v>0</v>
      </c>
      <c r="M109" s="186">
        <f t="shared" si="12"/>
        <v>1.1652295502213937E-2</v>
      </c>
      <c r="N109" s="187">
        <f t="shared" si="13"/>
        <v>1.3697691938908293E-2</v>
      </c>
    </row>
    <row r="110" spans="1:14" hidden="1" outlineLevel="1">
      <c r="A110" s="178"/>
      <c r="B110" s="188" t="s">
        <v>750</v>
      </c>
      <c r="C110" s="184">
        <f t="shared" si="7"/>
        <v>-100</v>
      </c>
      <c r="E110" s="180">
        <v>0</v>
      </c>
      <c r="F110" s="181">
        <v>4</v>
      </c>
      <c r="G110" s="189">
        <f t="shared" si="8"/>
        <v>-100</v>
      </c>
      <c r="H110" s="186" t="str">
        <f t="shared" si="9"/>
        <v/>
      </c>
      <c r="I110" s="186">
        <f t="shared" si="10"/>
        <v>2.7395383877816586E-2</v>
      </c>
      <c r="J110" s="180">
        <v>0</v>
      </c>
      <c r="K110" s="181">
        <v>4</v>
      </c>
      <c r="L110" s="189">
        <f t="shared" si="11"/>
        <v>-100</v>
      </c>
      <c r="M110" s="186" t="str">
        <f t="shared" si="12"/>
        <v/>
      </c>
      <c r="N110" s="187">
        <f t="shared" si="13"/>
        <v>2.7395383877816586E-2</v>
      </c>
    </row>
    <row r="111" spans="1:14" hidden="1" outlineLevel="1">
      <c r="A111" s="178"/>
      <c r="B111" s="188" t="s">
        <v>746</v>
      </c>
      <c r="C111" s="184">
        <f t="shared" si="7"/>
        <v>-100</v>
      </c>
      <c r="E111" s="180">
        <v>0</v>
      </c>
      <c r="F111" s="181">
        <v>4</v>
      </c>
      <c r="G111" s="189">
        <f t="shared" si="8"/>
        <v>-100</v>
      </c>
      <c r="H111" s="186" t="str">
        <f t="shared" si="9"/>
        <v/>
      </c>
      <c r="I111" s="186">
        <f t="shared" si="10"/>
        <v>2.7395383877816586E-2</v>
      </c>
      <c r="J111" s="180">
        <v>0</v>
      </c>
      <c r="K111" s="181">
        <v>4</v>
      </c>
      <c r="L111" s="189">
        <f t="shared" si="11"/>
        <v>-100</v>
      </c>
      <c r="M111" s="186" t="str">
        <f t="shared" si="12"/>
        <v/>
      </c>
      <c r="N111" s="187">
        <f t="shared" si="13"/>
        <v>2.7395383877816586E-2</v>
      </c>
    </row>
    <row r="112" spans="1:14" hidden="1" outlineLevel="1">
      <c r="A112" s="178"/>
      <c r="B112" s="188" t="s">
        <v>908</v>
      </c>
      <c r="C112" s="184">
        <f t="shared" si="7"/>
        <v>-100</v>
      </c>
      <c r="E112" s="180">
        <v>0</v>
      </c>
      <c r="F112" s="181">
        <v>3</v>
      </c>
      <c r="G112" s="189">
        <f t="shared" si="8"/>
        <v>-100</v>
      </c>
      <c r="H112" s="186" t="str">
        <f t="shared" si="9"/>
        <v/>
      </c>
      <c r="I112" s="186">
        <f t="shared" si="10"/>
        <v>2.0546537908362441E-2</v>
      </c>
      <c r="J112" s="180">
        <v>0</v>
      </c>
      <c r="K112" s="181">
        <v>3</v>
      </c>
      <c r="L112" s="189">
        <f t="shared" si="11"/>
        <v>-100</v>
      </c>
      <c r="M112" s="186" t="str">
        <f t="shared" si="12"/>
        <v/>
      </c>
      <c r="N112" s="187">
        <f t="shared" si="13"/>
        <v>2.0546537908362441E-2</v>
      </c>
    </row>
    <row r="113" spans="1:14" collapsed="1">
      <c r="A113" s="178" t="s">
        <v>1029</v>
      </c>
      <c r="B113" s="177" t="s">
        <v>244</v>
      </c>
      <c r="C113" s="184">
        <f t="shared" si="7"/>
        <v>-19.53125</v>
      </c>
      <c r="E113" s="180">
        <v>824</v>
      </c>
      <c r="F113" s="181">
        <v>1024</v>
      </c>
      <c r="G113" s="189">
        <f t="shared" si="8"/>
        <v>-19.53125</v>
      </c>
      <c r="H113" s="186">
        <f t="shared" si="9"/>
        <v>4.800745746912142</v>
      </c>
      <c r="I113" s="186">
        <f t="shared" si="10"/>
        <v>7.0132182727210459</v>
      </c>
      <c r="J113" s="180">
        <v>824</v>
      </c>
      <c r="K113" s="181">
        <v>1024</v>
      </c>
      <c r="L113" s="189">
        <f t="shared" si="11"/>
        <v>-19.53125</v>
      </c>
      <c r="M113" s="186">
        <f t="shared" si="12"/>
        <v>4.800745746912142</v>
      </c>
      <c r="N113" s="187">
        <f t="shared" si="13"/>
        <v>7.0132182727210459</v>
      </c>
    </row>
    <row r="114" spans="1:14" hidden="1" outlineLevel="1">
      <c r="A114" s="178"/>
      <c r="B114" s="188" t="s">
        <v>716</v>
      </c>
      <c r="C114" s="184">
        <f t="shared" si="7"/>
        <v>50.537634408602152</v>
      </c>
      <c r="E114" s="180">
        <v>140</v>
      </c>
      <c r="F114" s="181">
        <v>93</v>
      </c>
      <c r="G114" s="189">
        <f t="shared" si="8"/>
        <v>50.537634408602152</v>
      </c>
      <c r="H114" s="186">
        <f t="shared" si="9"/>
        <v>0.81566068515497547</v>
      </c>
      <c r="I114" s="186">
        <f t="shared" si="10"/>
        <v>0.63694267515923575</v>
      </c>
      <c r="J114" s="180">
        <v>140</v>
      </c>
      <c r="K114" s="181">
        <v>93</v>
      </c>
      <c r="L114" s="189">
        <f t="shared" si="11"/>
        <v>50.537634408602152</v>
      </c>
      <c r="M114" s="186">
        <f t="shared" si="12"/>
        <v>0.81566068515497547</v>
      </c>
      <c r="N114" s="187">
        <f t="shared" si="13"/>
        <v>0.63694267515923575</v>
      </c>
    </row>
    <row r="115" spans="1:14" hidden="1" outlineLevel="1">
      <c r="A115" s="178"/>
      <c r="B115" s="188" t="s">
        <v>719</v>
      </c>
      <c r="C115" s="184">
        <f t="shared" si="7"/>
        <v>200</v>
      </c>
      <c r="E115" s="180">
        <v>123</v>
      </c>
      <c r="F115" s="181">
        <v>41</v>
      </c>
      <c r="G115" s="189">
        <f t="shared" si="8"/>
        <v>200</v>
      </c>
      <c r="H115" s="186">
        <f t="shared" si="9"/>
        <v>0.71661617338615702</v>
      </c>
      <c r="I115" s="186">
        <f t="shared" si="10"/>
        <v>0.28080268474762005</v>
      </c>
      <c r="J115" s="180">
        <v>123</v>
      </c>
      <c r="K115" s="181">
        <v>41</v>
      </c>
      <c r="L115" s="189">
        <f t="shared" si="11"/>
        <v>200</v>
      </c>
      <c r="M115" s="186">
        <f t="shared" si="12"/>
        <v>0.71661617338615702</v>
      </c>
      <c r="N115" s="187">
        <f t="shared" si="13"/>
        <v>0.28080268474762005</v>
      </c>
    </row>
    <row r="116" spans="1:14" hidden="1" outlineLevel="1">
      <c r="A116" s="178"/>
      <c r="B116" s="188" t="s">
        <v>714</v>
      </c>
      <c r="C116" s="184">
        <f t="shared" si="7"/>
        <v>-16.417910447761194</v>
      </c>
      <c r="E116" s="180">
        <v>112</v>
      </c>
      <c r="F116" s="181">
        <v>134</v>
      </c>
      <c r="G116" s="189">
        <f t="shared" si="8"/>
        <v>-16.417910447761194</v>
      </c>
      <c r="H116" s="186">
        <f t="shared" si="9"/>
        <v>0.65252854812398042</v>
      </c>
      <c r="I116" s="186">
        <f t="shared" si="10"/>
        <v>0.91774535990685568</v>
      </c>
      <c r="J116" s="180">
        <v>112</v>
      </c>
      <c r="K116" s="181">
        <v>134</v>
      </c>
      <c r="L116" s="189">
        <f t="shared" si="11"/>
        <v>-16.417910447761194</v>
      </c>
      <c r="M116" s="186">
        <f t="shared" si="12"/>
        <v>0.65252854812398042</v>
      </c>
      <c r="N116" s="187">
        <f t="shared" si="13"/>
        <v>0.91774535990685568</v>
      </c>
    </row>
    <row r="117" spans="1:14" hidden="1" outlineLevel="1">
      <c r="A117" s="178"/>
      <c r="B117" s="188" t="s">
        <v>711</v>
      </c>
      <c r="C117" s="184">
        <f t="shared" si="7"/>
        <v>-28.571428571428569</v>
      </c>
      <c r="E117" s="180">
        <v>105</v>
      </c>
      <c r="F117" s="181">
        <v>147</v>
      </c>
      <c r="G117" s="189">
        <f t="shared" si="8"/>
        <v>-28.571428571428569</v>
      </c>
      <c r="H117" s="186">
        <f t="shared" si="9"/>
        <v>0.61174551386623166</v>
      </c>
      <c r="I117" s="186">
        <f t="shared" si="10"/>
        <v>1.0067803575097596</v>
      </c>
      <c r="J117" s="180">
        <v>105</v>
      </c>
      <c r="K117" s="181">
        <v>147</v>
      </c>
      <c r="L117" s="189">
        <f t="shared" si="11"/>
        <v>-28.571428571428569</v>
      </c>
      <c r="M117" s="186">
        <f t="shared" si="12"/>
        <v>0.61174551386623166</v>
      </c>
      <c r="N117" s="187">
        <f t="shared" si="13"/>
        <v>1.0067803575097596</v>
      </c>
    </row>
    <row r="118" spans="1:14" hidden="1" outlineLevel="1">
      <c r="A118" s="178"/>
      <c r="B118" s="188" t="s">
        <v>712</v>
      </c>
      <c r="C118" s="184">
        <f t="shared" si="7"/>
        <v>-31.782945736434108</v>
      </c>
      <c r="E118" s="180">
        <v>88</v>
      </c>
      <c r="F118" s="181">
        <v>129</v>
      </c>
      <c r="G118" s="189">
        <f t="shared" si="8"/>
        <v>-31.782945736434108</v>
      </c>
      <c r="H118" s="186">
        <f t="shared" si="9"/>
        <v>0.51270100209741321</v>
      </c>
      <c r="I118" s="186">
        <f t="shared" si="10"/>
        <v>0.88350113005958486</v>
      </c>
      <c r="J118" s="180">
        <v>88</v>
      </c>
      <c r="K118" s="181">
        <v>129</v>
      </c>
      <c r="L118" s="189">
        <f t="shared" si="11"/>
        <v>-31.782945736434108</v>
      </c>
      <c r="M118" s="186">
        <f t="shared" si="12"/>
        <v>0.51270100209741321</v>
      </c>
      <c r="N118" s="187">
        <f t="shared" si="13"/>
        <v>0.88350113005958486</v>
      </c>
    </row>
    <row r="119" spans="1:14" hidden="1" outlineLevel="1">
      <c r="A119" s="178"/>
      <c r="B119" s="188" t="s">
        <v>715</v>
      </c>
      <c r="C119" s="184">
        <f t="shared" si="7"/>
        <v>-59.281437125748504</v>
      </c>
      <c r="E119" s="180">
        <v>68</v>
      </c>
      <c r="F119" s="181">
        <v>167</v>
      </c>
      <c r="G119" s="189">
        <f t="shared" si="8"/>
        <v>-59.281437125748504</v>
      </c>
      <c r="H119" s="186">
        <f t="shared" si="9"/>
        <v>0.39617804707527388</v>
      </c>
      <c r="I119" s="186">
        <f t="shared" si="10"/>
        <v>1.1437572768988424</v>
      </c>
      <c r="J119" s="180">
        <v>68</v>
      </c>
      <c r="K119" s="181">
        <v>167</v>
      </c>
      <c r="L119" s="189">
        <f t="shared" si="11"/>
        <v>-59.281437125748504</v>
      </c>
      <c r="M119" s="186">
        <f t="shared" si="12"/>
        <v>0.39617804707527388</v>
      </c>
      <c r="N119" s="187">
        <f t="shared" si="13"/>
        <v>1.1437572768988424</v>
      </c>
    </row>
    <row r="120" spans="1:14" hidden="1" outlineLevel="1">
      <c r="A120" s="178"/>
      <c r="B120" s="188" t="s">
        <v>720</v>
      </c>
      <c r="C120" s="184">
        <f t="shared" si="7"/>
        <v>-54.117647058823529</v>
      </c>
      <c r="E120" s="180">
        <v>39</v>
      </c>
      <c r="F120" s="181">
        <v>85</v>
      </c>
      <c r="G120" s="189">
        <f t="shared" si="8"/>
        <v>-54.117647058823529</v>
      </c>
      <c r="H120" s="186">
        <f t="shared" si="9"/>
        <v>0.22721976229317176</v>
      </c>
      <c r="I120" s="186">
        <f t="shared" si="10"/>
        <v>0.58215190740360245</v>
      </c>
      <c r="J120" s="180">
        <v>39</v>
      </c>
      <c r="K120" s="181">
        <v>85</v>
      </c>
      <c r="L120" s="189">
        <f t="shared" si="11"/>
        <v>-54.117647058823529</v>
      </c>
      <c r="M120" s="186">
        <f t="shared" si="12"/>
        <v>0.22721976229317176</v>
      </c>
      <c r="N120" s="187">
        <f t="shared" si="13"/>
        <v>0.58215190740360245</v>
      </c>
    </row>
    <row r="121" spans="1:14" hidden="1" outlineLevel="1">
      <c r="A121" s="178"/>
      <c r="B121" s="188" t="s">
        <v>717</v>
      </c>
      <c r="C121" s="184">
        <f t="shared" si="7"/>
        <v>-47.826086956521742</v>
      </c>
      <c r="E121" s="180">
        <v>36</v>
      </c>
      <c r="F121" s="181">
        <v>69</v>
      </c>
      <c r="G121" s="189">
        <f t="shared" si="8"/>
        <v>-47.826086956521742</v>
      </c>
      <c r="H121" s="186">
        <f t="shared" si="9"/>
        <v>0.20974131903985083</v>
      </c>
      <c r="I121" s="186">
        <f t="shared" si="10"/>
        <v>0.47257037189233614</v>
      </c>
      <c r="J121" s="180">
        <v>36</v>
      </c>
      <c r="K121" s="181">
        <v>69</v>
      </c>
      <c r="L121" s="189">
        <f t="shared" si="11"/>
        <v>-47.826086956521742</v>
      </c>
      <c r="M121" s="186">
        <f t="shared" si="12"/>
        <v>0.20974131903985083</v>
      </c>
      <c r="N121" s="187">
        <f t="shared" si="13"/>
        <v>0.47257037189233614</v>
      </c>
    </row>
    <row r="122" spans="1:14" hidden="1" outlineLevel="1">
      <c r="A122" s="178"/>
      <c r="B122" s="188" t="s">
        <v>1085</v>
      </c>
      <c r="C122" s="184" t="str">
        <f t="shared" si="7"/>
        <v/>
      </c>
      <c r="E122" s="180">
        <v>35</v>
      </c>
      <c r="F122" s="181">
        <v>0</v>
      </c>
      <c r="G122" s="189" t="str">
        <f t="shared" si="8"/>
        <v/>
      </c>
      <c r="H122" s="186">
        <f t="shared" si="9"/>
        <v>0.20391517128874387</v>
      </c>
      <c r="I122" s="186" t="str">
        <f t="shared" si="10"/>
        <v/>
      </c>
      <c r="J122" s="180">
        <v>35</v>
      </c>
      <c r="K122" s="181">
        <v>0</v>
      </c>
      <c r="L122" s="189" t="str">
        <f t="shared" si="11"/>
        <v/>
      </c>
      <c r="M122" s="186">
        <f t="shared" si="12"/>
        <v>0.20391517128874387</v>
      </c>
      <c r="N122" s="187" t="str">
        <f t="shared" si="13"/>
        <v/>
      </c>
    </row>
    <row r="123" spans="1:14" hidden="1" outlineLevel="1">
      <c r="A123" s="178"/>
      <c r="B123" s="188" t="s">
        <v>718</v>
      </c>
      <c r="C123" s="184">
        <f t="shared" si="7"/>
        <v>-55.844155844155843</v>
      </c>
      <c r="E123" s="180">
        <v>34</v>
      </c>
      <c r="F123" s="181">
        <v>77</v>
      </c>
      <c r="G123" s="189">
        <f t="shared" si="8"/>
        <v>-55.844155844155843</v>
      </c>
      <c r="H123" s="186">
        <f t="shared" si="9"/>
        <v>0.19808902353763694</v>
      </c>
      <c r="I123" s="186">
        <f t="shared" si="10"/>
        <v>0.52736113964796927</v>
      </c>
      <c r="J123" s="180">
        <v>34</v>
      </c>
      <c r="K123" s="181">
        <v>77</v>
      </c>
      <c r="L123" s="189">
        <f t="shared" si="11"/>
        <v>-55.844155844155843</v>
      </c>
      <c r="M123" s="186">
        <f t="shared" si="12"/>
        <v>0.19808902353763694</v>
      </c>
      <c r="N123" s="187">
        <f t="shared" si="13"/>
        <v>0.52736113964796927</v>
      </c>
    </row>
    <row r="124" spans="1:14" hidden="1" outlineLevel="1">
      <c r="A124" s="178"/>
      <c r="B124" s="188" t="s">
        <v>722</v>
      </c>
      <c r="C124" s="184">
        <f t="shared" si="7"/>
        <v>-32</v>
      </c>
      <c r="E124" s="180">
        <v>17</v>
      </c>
      <c r="F124" s="181">
        <v>25</v>
      </c>
      <c r="G124" s="189">
        <f t="shared" si="8"/>
        <v>-32</v>
      </c>
      <c r="H124" s="186">
        <f t="shared" si="9"/>
        <v>9.9044511768818469E-2</v>
      </c>
      <c r="I124" s="186">
        <f t="shared" si="10"/>
        <v>0.17122114923635368</v>
      </c>
      <c r="J124" s="180">
        <v>17</v>
      </c>
      <c r="K124" s="181">
        <v>25</v>
      </c>
      <c r="L124" s="189">
        <f t="shared" si="11"/>
        <v>-32</v>
      </c>
      <c r="M124" s="186">
        <f t="shared" si="12"/>
        <v>9.9044511768818469E-2</v>
      </c>
      <c r="N124" s="187">
        <f t="shared" si="13"/>
        <v>0.17122114923635368</v>
      </c>
    </row>
    <row r="125" spans="1:14" hidden="1" outlineLevel="1">
      <c r="A125" s="178"/>
      <c r="B125" s="188" t="s">
        <v>724</v>
      </c>
      <c r="C125" s="184">
        <f t="shared" si="7"/>
        <v>-45.454545454545453</v>
      </c>
      <c r="E125" s="180">
        <v>6</v>
      </c>
      <c r="F125" s="181">
        <v>11</v>
      </c>
      <c r="G125" s="189">
        <f t="shared" si="8"/>
        <v>-45.454545454545453</v>
      </c>
      <c r="H125" s="186">
        <f t="shared" si="9"/>
        <v>3.4956886506641811E-2</v>
      </c>
      <c r="I125" s="186">
        <f t="shared" si="10"/>
        <v>7.5337305663995616E-2</v>
      </c>
      <c r="J125" s="180">
        <v>6</v>
      </c>
      <c r="K125" s="181">
        <v>11</v>
      </c>
      <c r="L125" s="189">
        <f t="shared" si="11"/>
        <v>-45.454545454545453</v>
      </c>
      <c r="M125" s="186">
        <f t="shared" si="12"/>
        <v>3.4956886506641811E-2</v>
      </c>
      <c r="N125" s="187">
        <f t="shared" si="13"/>
        <v>7.5337305663995616E-2</v>
      </c>
    </row>
    <row r="126" spans="1:14" hidden="1" outlineLevel="1">
      <c r="A126" s="178"/>
      <c r="B126" s="188" t="s">
        <v>1030</v>
      </c>
      <c r="C126" s="184" t="str">
        <f t="shared" si="7"/>
        <v/>
      </c>
      <c r="E126" s="180">
        <v>6</v>
      </c>
      <c r="F126" s="181">
        <v>0</v>
      </c>
      <c r="G126" s="189" t="str">
        <f t="shared" si="8"/>
        <v/>
      </c>
      <c r="H126" s="186">
        <f t="shared" si="9"/>
        <v>3.4956886506641811E-2</v>
      </c>
      <c r="I126" s="186" t="str">
        <f t="shared" si="10"/>
        <v/>
      </c>
      <c r="J126" s="180">
        <v>6</v>
      </c>
      <c r="K126" s="181">
        <v>0</v>
      </c>
      <c r="L126" s="189" t="str">
        <f t="shared" si="11"/>
        <v/>
      </c>
      <c r="M126" s="186">
        <f t="shared" si="12"/>
        <v>3.4956886506641811E-2</v>
      </c>
      <c r="N126" s="187" t="str">
        <f t="shared" si="13"/>
        <v/>
      </c>
    </row>
    <row r="127" spans="1:14" hidden="1" outlineLevel="1">
      <c r="A127" s="178"/>
      <c r="B127" s="188" t="s">
        <v>723</v>
      </c>
      <c r="C127" s="184">
        <f t="shared" si="7"/>
        <v>-54.54545454545454</v>
      </c>
      <c r="E127" s="180">
        <v>5</v>
      </c>
      <c r="F127" s="181">
        <v>11</v>
      </c>
      <c r="G127" s="189">
        <f t="shared" si="8"/>
        <v>-54.54545454545454</v>
      </c>
      <c r="H127" s="186">
        <f t="shared" si="9"/>
        <v>2.9130738755534843E-2</v>
      </c>
      <c r="I127" s="186">
        <f t="shared" si="10"/>
        <v>7.5337305663995616E-2</v>
      </c>
      <c r="J127" s="180">
        <v>5</v>
      </c>
      <c r="K127" s="181">
        <v>11</v>
      </c>
      <c r="L127" s="189">
        <f t="shared" si="11"/>
        <v>-54.54545454545454</v>
      </c>
      <c r="M127" s="186">
        <f t="shared" si="12"/>
        <v>2.9130738755534843E-2</v>
      </c>
      <c r="N127" s="187">
        <f t="shared" si="13"/>
        <v>7.5337305663995616E-2</v>
      </c>
    </row>
    <row r="128" spans="1:14" hidden="1" outlineLevel="1">
      <c r="A128" s="178"/>
      <c r="B128" s="188" t="s">
        <v>721</v>
      </c>
      <c r="C128" s="184">
        <f t="shared" si="7"/>
        <v>-54.54545454545454</v>
      </c>
      <c r="E128" s="180">
        <v>5</v>
      </c>
      <c r="F128" s="181">
        <v>11</v>
      </c>
      <c r="G128" s="189">
        <f t="shared" si="8"/>
        <v>-54.54545454545454</v>
      </c>
      <c r="H128" s="186">
        <f t="shared" si="9"/>
        <v>2.9130738755534843E-2</v>
      </c>
      <c r="I128" s="186">
        <f t="shared" si="10"/>
        <v>7.5337305663995616E-2</v>
      </c>
      <c r="J128" s="180">
        <v>5</v>
      </c>
      <c r="K128" s="181">
        <v>11</v>
      </c>
      <c r="L128" s="189">
        <f t="shared" si="11"/>
        <v>-54.54545454545454</v>
      </c>
      <c r="M128" s="186">
        <f t="shared" si="12"/>
        <v>2.9130738755534843E-2</v>
      </c>
      <c r="N128" s="187">
        <f t="shared" si="13"/>
        <v>7.5337305663995616E-2</v>
      </c>
    </row>
    <row r="129" spans="1:14" hidden="1" outlineLevel="1">
      <c r="A129" s="178"/>
      <c r="B129" s="188" t="s">
        <v>950</v>
      </c>
      <c r="C129" s="184">
        <f t="shared" si="7"/>
        <v>-70</v>
      </c>
      <c r="E129" s="180">
        <v>3</v>
      </c>
      <c r="F129" s="181">
        <v>10</v>
      </c>
      <c r="G129" s="189">
        <f t="shared" si="8"/>
        <v>-70</v>
      </c>
      <c r="H129" s="186">
        <f t="shared" si="9"/>
        <v>1.7478443253320906E-2</v>
      </c>
      <c r="I129" s="186">
        <f t="shared" si="10"/>
        <v>6.8488459694541468E-2</v>
      </c>
      <c r="J129" s="180">
        <v>3</v>
      </c>
      <c r="K129" s="181">
        <v>10</v>
      </c>
      <c r="L129" s="189">
        <f t="shared" si="11"/>
        <v>-70</v>
      </c>
      <c r="M129" s="186">
        <f t="shared" si="12"/>
        <v>1.7478443253320906E-2</v>
      </c>
      <c r="N129" s="187">
        <f t="shared" si="13"/>
        <v>6.8488459694541468E-2</v>
      </c>
    </row>
    <row r="130" spans="1:14" hidden="1" outlineLevel="1">
      <c r="A130" s="178"/>
      <c r="B130" s="188" t="s">
        <v>725</v>
      </c>
      <c r="C130" s="184">
        <f t="shared" si="7"/>
        <v>0</v>
      </c>
      <c r="E130" s="180">
        <v>1</v>
      </c>
      <c r="F130" s="181">
        <v>1</v>
      </c>
      <c r="G130" s="189">
        <f t="shared" si="8"/>
        <v>0</v>
      </c>
      <c r="H130" s="186">
        <f t="shared" si="9"/>
        <v>5.8261477511069686E-3</v>
      </c>
      <c r="I130" s="186">
        <f t="shared" si="10"/>
        <v>6.8488459694541464E-3</v>
      </c>
      <c r="J130" s="180">
        <v>1</v>
      </c>
      <c r="K130" s="181">
        <v>1</v>
      </c>
      <c r="L130" s="189">
        <f t="shared" si="11"/>
        <v>0</v>
      </c>
      <c r="M130" s="186">
        <f t="shared" si="12"/>
        <v>5.8261477511069686E-3</v>
      </c>
      <c r="N130" s="187">
        <f t="shared" si="13"/>
        <v>6.8488459694541464E-3</v>
      </c>
    </row>
    <row r="131" spans="1:14" hidden="1" outlineLevel="1">
      <c r="A131" s="178"/>
      <c r="B131" s="188" t="s">
        <v>1004</v>
      </c>
      <c r="C131" s="184" t="str">
        <f t="shared" si="7"/>
        <v/>
      </c>
      <c r="E131" s="180">
        <v>1</v>
      </c>
      <c r="F131" s="181">
        <v>0</v>
      </c>
      <c r="G131" s="189" t="str">
        <f t="shared" si="8"/>
        <v/>
      </c>
      <c r="H131" s="186">
        <f t="shared" si="9"/>
        <v>5.8261477511069686E-3</v>
      </c>
      <c r="I131" s="186" t="str">
        <f t="shared" si="10"/>
        <v/>
      </c>
      <c r="J131" s="180">
        <v>1</v>
      </c>
      <c r="K131" s="181">
        <v>0</v>
      </c>
      <c r="L131" s="189" t="str">
        <f t="shared" si="11"/>
        <v/>
      </c>
      <c r="M131" s="186">
        <f t="shared" si="12"/>
        <v>5.8261477511069686E-3</v>
      </c>
      <c r="N131" s="187" t="str">
        <f t="shared" si="13"/>
        <v/>
      </c>
    </row>
    <row r="132" spans="1:14" hidden="1" outlineLevel="1">
      <c r="A132" s="178"/>
      <c r="B132" s="188" t="s">
        <v>726</v>
      </c>
      <c r="C132" s="184">
        <f t="shared" si="7"/>
        <v>-100</v>
      </c>
      <c r="E132" s="180">
        <v>0</v>
      </c>
      <c r="F132" s="181">
        <v>8</v>
      </c>
      <c r="G132" s="189">
        <f t="shared" si="8"/>
        <v>-100</v>
      </c>
      <c r="H132" s="186" t="str">
        <f t="shared" si="9"/>
        <v/>
      </c>
      <c r="I132" s="186">
        <f t="shared" si="10"/>
        <v>5.4790767755633171E-2</v>
      </c>
      <c r="J132" s="180">
        <v>0</v>
      </c>
      <c r="K132" s="181">
        <v>8</v>
      </c>
      <c r="L132" s="189">
        <f t="shared" si="11"/>
        <v>-100</v>
      </c>
      <c r="M132" s="186" t="str">
        <f t="shared" si="12"/>
        <v/>
      </c>
      <c r="N132" s="187">
        <f t="shared" si="13"/>
        <v>5.4790767755633171E-2</v>
      </c>
    </row>
    <row r="133" spans="1:14" hidden="1" outlineLevel="1">
      <c r="A133" s="178"/>
      <c r="B133" s="188" t="s">
        <v>727</v>
      </c>
      <c r="C133" s="184">
        <f t="shared" si="7"/>
        <v>-100</v>
      </c>
      <c r="E133" s="180">
        <v>0</v>
      </c>
      <c r="F133" s="181">
        <v>2</v>
      </c>
      <c r="G133" s="189">
        <f t="shared" si="8"/>
        <v>-100</v>
      </c>
      <c r="H133" s="186" t="str">
        <f t="shared" si="9"/>
        <v/>
      </c>
      <c r="I133" s="186">
        <f t="shared" si="10"/>
        <v>1.3697691938908293E-2</v>
      </c>
      <c r="J133" s="180">
        <v>0</v>
      </c>
      <c r="K133" s="181">
        <v>2</v>
      </c>
      <c r="L133" s="189">
        <f t="shared" si="11"/>
        <v>-100</v>
      </c>
      <c r="M133" s="186" t="str">
        <f t="shared" si="12"/>
        <v/>
      </c>
      <c r="N133" s="187">
        <f t="shared" si="13"/>
        <v>1.3697691938908293E-2</v>
      </c>
    </row>
    <row r="134" spans="1:14" hidden="1" outlineLevel="1">
      <c r="A134" s="178"/>
      <c r="B134" s="188" t="s">
        <v>728</v>
      </c>
      <c r="C134" s="184">
        <f t="shared" si="7"/>
        <v>-100</v>
      </c>
      <c r="E134" s="180">
        <v>0</v>
      </c>
      <c r="F134" s="181">
        <v>2</v>
      </c>
      <c r="G134" s="189">
        <f t="shared" si="8"/>
        <v>-100</v>
      </c>
      <c r="H134" s="186" t="str">
        <f t="shared" si="9"/>
        <v/>
      </c>
      <c r="I134" s="186">
        <f t="shared" si="10"/>
        <v>1.3697691938908293E-2</v>
      </c>
      <c r="J134" s="180">
        <v>0</v>
      </c>
      <c r="K134" s="181">
        <v>2</v>
      </c>
      <c r="L134" s="189">
        <f t="shared" si="11"/>
        <v>-100</v>
      </c>
      <c r="M134" s="186" t="str">
        <f t="shared" si="12"/>
        <v/>
      </c>
      <c r="N134" s="187">
        <f t="shared" si="13"/>
        <v>1.3697691938908293E-2</v>
      </c>
    </row>
    <row r="135" spans="1:14" hidden="1" outlineLevel="1">
      <c r="A135" s="178"/>
      <c r="B135" s="188" t="s">
        <v>713</v>
      </c>
      <c r="C135" s="184">
        <f t="shared" si="7"/>
        <v>-100</v>
      </c>
      <c r="E135" s="180">
        <v>0</v>
      </c>
      <c r="F135" s="181">
        <v>1</v>
      </c>
      <c r="G135" s="189">
        <f t="shared" si="8"/>
        <v>-100</v>
      </c>
      <c r="H135" s="186" t="str">
        <f t="shared" si="9"/>
        <v/>
      </c>
      <c r="I135" s="186">
        <f t="shared" si="10"/>
        <v>6.8488459694541464E-3</v>
      </c>
      <c r="J135" s="180">
        <v>0</v>
      </c>
      <c r="K135" s="181">
        <v>1</v>
      </c>
      <c r="L135" s="189">
        <f t="shared" si="11"/>
        <v>-100</v>
      </c>
      <c r="M135" s="186" t="str">
        <f t="shared" si="12"/>
        <v/>
      </c>
      <c r="N135" s="187">
        <f t="shared" si="13"/>
        <v>6.8488459694541464E-3</v>
      </c>
    </row>
    <row r="136" spans="1:14" collapsed="1">
      <c r="A136" s="178" t="s">
        <v>1144</v>
      </c>
      <c r="B136" s="177" t="s">
        <v>272</v>
      </c>
      <c r="C136" s="184">
        <f t="shared" si="7"/>
        <v>224.44444444444446</v>
      </c>
      <c r="E136" s="180">
        <v>730</v>
      </c>
      <c r="F136" s="181">
        <v>225</v>
      </c>
      <c r="G136" s="189">
        <f t="shared" si="8"/>
        <v>224.44444444444446</v>
      </c>
      <c r="H136" s="186">
        <f t="shared" si="9"/>
        <v>4.2530878583080867</v>
      </c>
      <c r="I136" s="186">
        <f t="shared" si="10"/>
        <v>1.540990343127183</v>
      </c>
      <c r="J136" s="180">
        <v>730</v>
      </c>
      <c r="K136" s="181">
        <v>225</v>
      </c>
      <c r="L136" s="189">
        <f t="shared" si="11"/>
        <v>224.44444444444446</v>
      </c>
      <c r="M136" s="186">
        <f t="shared" si="12"/>
        <v>4.2530878583080867</v>
      </c>
      <c r="N136" s="187">
        <f t="shared" si="13"/>
        <v>1.540990343127183</v>
      </c>
    </row>
    <row r="137" spans="1:14" hidden="1" outlineLevel="1">
      <c r="A137" s="178"/>
      <c r="B137" s="188" t="s">
        <v>779</v>
      </c>
      <c r="C137" s="184">
        <f t="shared" si="7"/>
        <v>465.68627450980398</v>
      </c>
      <c r="E137" s="180">
        <v>577</v>
      </c>
      <c r="F137" s="181">
        <v>102</v>
      </c>
      <c r="G137" s="189">
        <f t="shared" si="8"/>
        <v>465.68627450980398</v>
      </c>
      <c r="H137" s="186">
        <f t="shared" si="9"/>
        <v>3.3616872523887205</v>
      </c>
      <c r="I137" s="186">
        <f t="shared" si="10"/>
        <v>0.69858228888432294</v>
      </c>
      <c r="J137" s="180">
        <v>577</v>
      </c>
      <c r="K137" s="181">
        <v>102</v>
      </c>
      <c r="L137" s="189">
        <f t="shared" si="11"/>
        <v>465.68627450980398</v>
      </c>
      <c r="M137" s="186">
        <f t="shared" si="12"/>
        <v>3.3616872523887205</v>
      </c>
      <c r="N137" s="187">
        <f t="shared" si="13"/>
        <v>0.69858228888432294</v>
      </c>
    </row>
    <row r="138" spans="1:14" hidden="1" outlineLevel="1">
      <c r="A138" s="178"/>
      <c r="B138" s="188" t="s">
        <v>780</v>
      </c>
      <c r="C138" s="184">
        <f t="shared" ref="C138:C201" si="14">IF(K138=0,"",SUM(((J138-K138)/K138)*100))</f>
        <v>47.916666666666671</v>
      </c>
      <c r="E138" s="180">
        <v>142</v>
      </c>
      <c r="F138" s="181">
        <v>96</v>
      </c>
      <c r="G138" s="189">
        <f t="shared" ref="G138:G201" si="15">IF(F138=0,"",SUM(((E138-F138)/F138)*100))</f>
        <v>47.916666666666671</v>
      </c>
      <c r="H138" s="186">
        <f t="shared" ref="H138:H201" si="16">IF(E138=0,"",SUM((E138/CntPeriod)*100))</f>
        <v>0.8273129806571895</v>
      </c>
      <c r="I138" s="186">
        <f t="shared" ref="I138:I201" si="17">IF(F138=0,"",SUM((F138/CntPeriodPrevYear)*100))</f>
        <v>0.65748921306759811</v>
      </c>
      <c r="J138" s="180">
        <v>142</v>
      </c>
      <c r="K138" s="181">
        <v>96</v>
      </c>
      <c r="L138" s="189">
        <f t="shared" ref="L138:L201" si="18">IF(K138=0,"",SUM(((J138-K138)/K138)*100))</f>
        <v>47.916666666666671</v>
      </c>
      <c r="M138" s="186">
        <f t="shared" ref="M138:M201" si="19">IF(J138=0,"",SUM((J138/CntYearAck)*100))</f>
        <v>0.8273129806571895</v>
      </c>
      <c r="N138" s="187">
        <f t="shared" ref="N138:N201" si="20">IF(K138=0,"",SUM((K138/CntPrevYearAck)*100))</f>
        <v>0.65748921306759811</v>
      </c>
    </row>
    <row r="139" spans="1:14" hidden="1" outlineLevel="1">
      <c r="A139" s="178"/>
      <c r="B139" s="188" t="s">
        <v>781</v>
      </c>
      <c r="C139" s="184">
        <f t="shared" si="14"/>
        <v>-70</v>
      </c>
      <c r="E139" s="180">
        <v>6</v>
      </c>
      <c r="F139" s="181">
        <v>20</v>
      </c>
      <c r="G139" s="189">
        <f t="shared" si="15"/>
        <v>-70</v>
      </c>
      <c r="H139" s="186">
        <f t="shared" si="16"/>
        <v>3.4956886506641811E-2</v>
      </c>
      <c r="I139" s="186">
        <f t="shared" si="17"/>
        <v>0.13697691938908294</v>
      </c>
      <c r="J139" s="180">
        <v>6</v>
      </c>
      <c r="K139" s="181">
        <v>20</v>
      </c>
      <c r="L139" s="189">
        <f t="shared" si="18"/>
        <v>-70</v>
      </c>
      <c r="M139" s="186">
        <f t="shared" si="19"/>
        <v>3.4956886506641811E-2</v>
      </c>
      <c r="N139" s="187">
        <f t="shared" si="20"/>
        <v>0.13697691938908294</v>
      </c>
    </row>
    <row r="140" spans="1:14" hidden="1" outlineLevel="1">
      <c r="A140" s="178"/>
      <c r="B140" s="188" t="s">
        <v>964</v>
      </c>
      <c r="C140" s="184">
        <f t="shared" si="14"/>
        <v>-28.571428571428569</v>
      </c>
      <c r="E140" s="180">
        <v>5</v>
      </c>
      <c r="F140" s="181">
        <v>7</v>
      </c>
      <c r="G140" s="189">
        <f t="shared" si="15"/>
        <v>-28.571428571428569</v>
      </c>
      <c r="H140" s="186">
        <f t="shared" si="16"/>
        <v>2.9130738755534843E-2</v>
      </c>
      <c r="I140" s="186">
        <f t="shared" si="17"/>
        <v>4.7941921786179023E-2</v>
      </c>
      <c r="J140" s="180">
        <v>5</v>
      </c>
      <c r="K140" s="181">
        <v>7</v>
      </c>
      <c r="L140" s="189">
        <f t="shared" si="18"/>
        <v>-28.571428571428569</v>
      </c>
      <c r="M140" s="186">
        <f t="shared" si="19"/>
        <v>2.9130738755534843E-2</v>
      </c>
      <c r="N140" s="187">
        <f t="shared" si="20"/>
        <v>4.7941921786179023E-2</v>
      </c>
    </row>
    <row r="141" spans="1:14" collapsed="1">
      <c r="A141" s="178" t="s">
        <v>1075</v>
      </c>
      <c r="B141" s="177" t="s">
        <v>269</v>
      </c>
      <c r="C141" s="184">
        <f t="shared" si="14"/>
        <v>19.646017699115045</v>
      </c>
      <c r="E141" s="180">
        <v>676</v>
      </c>
      <c r="F141" s="181">
        <v>565</v>
      </c>
      <c r="G141" s="189">
        <f t="shared" si="15"/>
        <v>19.646017699115045</v>
      </c>
      <c r="H141" s="186">
        <f t="shared" si="16"/>
        <v>3.9384758797483106</v>
      </c>
      <c r="I141" s="186">
        <f t="shared" si="17"/>
        <v>3.8695979727415932</v>
      </c>
      <c r="J141" s="180">
        <v>676</v>
      </c>
      <c r="K141" s="181">
        <v>565</v>
      </c>
      <c r="L141" s="189">
        <f t="shared" si="18"/>
        <v>19.646017699115045</v>
      </c>
      <c r="M141" s="186">
        <f t="shared" si="19"/>
        <v>3.9384758797483106</v>
      </c>
      <c r="N141" s="187">
        <f t="shared" si="20"/>
        <v>3.8695979727415932</v>
      </c>
    </row>
    <row r="142" spans="1:14" hidden="1" outlineLevel="1">
      <c r="A142" s="178"/>
      <c r="B142" s="188" t="s">
        <v>772</v>
      </c>
      <c r="C142" s="184">
        <f t="shared" si="14"/>
        <v>65.384615384615387</v>
      </c>
      <c r="E142" s="180">
        <v>215</v>
      </c>
      <c r="F142" s="181">
        <v>130</v>
      </c>
      <c r="G142" s="189">
        <f t="shared" si="15"/>
        <v>65.384615384615387</v>
      </c>
      <c r="H142" s="186">
        <f t="shared" si="16"/>
        <v>1.2526217664879982</v>
      </c>
      <c r="I142" s="186">
        <f t="shared" si="17"/>
        <v>0.8903499760290392</v>
      </c>
      <c r="J142" s="180">
        <v>215</v>
      </c>
      <c r="K142" s="181">
        <v>130</v>
      </c>
      <c r="L142" s="189">
        <f t="shared" si="18"/>
        <v>65.384615384615387</v>
      </c>
      <c r="M142" s="186">
        <f t="shared" si="19"/>
        <v>1.2526217664879982</v>
      </c>
      <c r="N142" s="187">
        <f t="shared" si="20"/>
        <v>0.8903499760290392</v>
      </c>
    </row>
    <row r="143" spans="1:14" hidden="1" outlineLevel="1">
      <c r="A143" s="178"/>
      <c r="B143" s="188" t="s">
        <v>775</v>
      </c>
      <c r="C143" s="184">
        <f t="shared" si="14"/>
        <v>163.26530612244898</v>
      </c>
      <c r="E143" s="180">
        <v>129</v>
      </c>
      <c r="F143" s="181">
        <v>49</v>
      </c>
      <c r="G143" s="189">
        <f t="shared" si="15"/>
        <v>163.26530612244898</v>
      </c>
      <c r="H143" s="186">
        <f t="shared" si="16"/>
        <v>0.75157305989279888</v>
      </c>
      <c r="I143" s="186">
        <f t="shared" si="17"/>
        <v>0.33559345250325318</v>
      </c>
      <c r="J143" s="180">
        <v>129</v>
      </c>
      <c r="K143" s="181">
        <v>49</v>
      </c>
      <c r="L143" s="189">
        <f t="shared" si="18"/>
        <v>163.26530612244898</v>
      </c>
      <c r="M143" s="186">
        <f t="shared" si="19"/>
        <v>0.75157305989279888</v>
      </c>
      <c r="N143" s="187">
        <f t="shared" si="20"/>
        <v>0.33559345250325318</v>
      </c>
    </row>
    <row r="144" spans="1:14" hidden="1" outlineLevel="1">
      <c r="A144" s="178"/>
      <c r="B144" s="188" t="s">
        <v>771</v>
      </c>
      <c r="C144" s="184">
        <f t="shared" si="14"/>
        <v>-22.875816993464053</v>
      </c>
      <c r="E144" s="180">
        <v>118</v>
      </c>
      <c r="F144" s="181">
        <v>153</v>
      </c>
      <c r="G144" s="189">
        <f t="shared" si="15"/>
        <v>-22.875816993464053</v>
      </c>
      <c r="H144" s="186">
        <f t="shared" si="16"/>
        <v>0.68748543463062217</v>
      </c>
      <c r="I144" s="186">
        <f t="shared" si="17"/>
        <v>1.0478734333264845</v>
      </c>
      <c r="J144" s="180">
        <v>118</v>
      </c>
      <c r="K144" s="181">
        <v>153</v>
      </c>
      <c r="L144" s="189">
        <f t="shared" si="18"/>
        <v>-22.875816993464053</v>
      </c>
      <c r="M144" s="186">
        <f t="shared" si="19"/>
        <v>0.68748543463062217</v>
      </c>
      <c r="N144" s="187">
        <f t="shared" si="20"/>
        <v>1.0478734333264845</v>
      </c>
    </row>
    <row r="145" spans="1:14" hidden="1" outlineLevel="1">
      <c r="A145" s="178"/>
      <c r="B145" s="188" t="s">
        <v>773</v>
      </c>
      <c r="C145" s="184">
        <f t="shared" si="14"/>
        <v>4.1237113402061851</v>
      </c>
      <c r="E145" s="180">
        <v>101</v>
      </c>
      <c r="F145" s="181">
        <v>97</v>
      </c>
      <c r="G145" s="189">
        <f t="shared" si="15"/>
        <v>4.1237113402061851</v>
      </c>
      <c r="H145" s="186">
        <f t="shared" si="16"/>
        <v>0.58844092286180383</v>
      </c>
      <c r="I145" s="186">
        <f t="shared" si="17"/>
        <v>0.66433805903705223</v>
      </c>
      <c r="J145" s="180">
        <v>101</v>
      </c>
      <c r="K145" s="181">
        <v>97</v>
      </c>
      <c r="L145" s="189">
        <f t="shared" si="18"/>
        <v>4.1237113402061851</v>
      </c>
      <c r="M145" s="186">
        <f t="shared" si="19"/>
        <v>0.58844092286180383</v>
      </c>
      <c r="N145" s="187">
        <f t="shared" si="20"/>
        <v>0.66433805903705223</v>
      </c>
    </row>
    <row r="146" spans="1:14" hidden="1" outlineLevel="1">
      <c r="A146" s="178"/>
      <c r="B146" s="188" t="s">
        <v>778</v>
      </c>
      <c r="C146" s="184">
        <f t="shared" si="14"/>
        <v>56.09756097560976</v>
      </c>
      <c r="E146" s="180">
        <v>64</v>
      </c>
      <c r="F146" s="181">
        <v>41</v>
      </c>
      <c r="G146" s="189">
        <f t="shared" si="15"/>
        <v>56.09756097560976</v>
      </c>
      <c r="H146" s="186">
        <f t="shared" si="16"/>
        <v>0.37287345607084599</v>
      </c>
      <c r="I146" s="186">
        <f t="shared" si="17"/>
        <v>0.28080268474762005</v>
      </c>
      <c r="J146" s="180">
        <v>64</v>
      </c>
      <c r="K146" s="181">
        <v>41</v>
      </c>
      <c r="L146" s="189">
        <f t="shared" si="18"/>
        <v>56.09756097560976</v>
      </c>
      <c r="M146" s="186">
        <f t="shared" si="19"/>
        <v>0.37287345607084599</v>
      </c>
      <c r="N146" s="187">
        <f t="shared" si="20"/>
        <v>0.28080268474762005</v>
      </c>
    </row>
    <row r="147" spans="1:14" hidden="1" outlineLevel="1">
      <c r="A147" s="178"/>
      <c r="B147" s="188" t="s">
        <v>774</v>
      </c>
      <c r="C147" s="184">
        <f t="shared" si="14"/>
        <v>-27.500000000000004</v>
      </c>
      <c r="E147" s="180">
        <v>29</v>
      </c>
      <c r="F147" s="181">
        <v>40</v>
      </c>
      <c r="G147" s="189">
        <f t="shared" si="15"/>
        <v>-27.500000000000004</v>
      </c>
      <c r="H147" s="186">
        <f t="shared" si="16"/>
        <v>0.16895828478210206</v>
      </c>
      <c r="I147" s="186">
        <f t="shared" si="17"/>
        <v>0.27395383877816587</v>
      </c>
      <c r="J147" s="180">
        <v>29</v>
      </c>
      <c r="K147" s="181">
        <v>40</v>
      </c>
      <c r="L147" s="189">
        <f t="shared" si="18"/>
        <v>-27.500000000000004</v>
      </c>
      <c r="M147" s="186">
        <f t="shared" si="19"/>
        <v>0.16895828478210206</v>
      </c>
      <c r="N147" s="187">
        <f t="shared" si="20"/>
        <v>0.27395383877816587</v>
      </c>
    </row>
    <row r="148" spans="1:14" hidden="1" outlineLevel="1">
      <c r="A148" s="178"/>
      <c r="B148" s="188" t="s">
        <v>776</v>
      </c>
      <c r="C148" s="184">
        <f t="shared" si="14"/>
        <v>-20</v>
      </c>
      <c r="E148" s="180">
        <v>16</v>
      </c>
      <c r="F148" s="181">
        <v>20</v>
      </c>
      <c r="G148" s="189">
        <f t="shared" si="15"/>
        <v>-20</v>
      </c>
      <c r="H148" s="186">
        <f t="shared" si="16"/>
        <v>9.3218364017711497E-2</v>
      </c>
      <c r="I148" s="186">
        <f t="shared" si="17"/>
        <v>0.13697691938908294</v>
      </c>
      <c r="J148" s="180">
        <v>16</v>
      </c>
      <c r="K148" s="181">
        <v>20</v>
      </c>
      <c r="L148" s="189">
        <f t="shared" si="18"/>
        <v>-20</v>
      </c>
      <c r="M148" s="186">
        <f t="shared" si="19"/>
        <v>9.3218364017711497E-2</v>
      </c>
      <c r="N148" s="187">
        <f t="shared" si="20"/>
        <v>0.13697691938908294</v>
      </c>
    </row>
    <row r="149" spans="1:14" hidden="1" outlineLevel="1">
      <c r="A149" s="178"/>
      <c r="B149" s="188" t="s">
        <v>777</v>
      </c>
      <c r="C149" s="184">
        <f t="shared" si="14"/>
        <v>-88.571428571428569</v>
      </c>
      <c r="E149" s="180">
        <v>4</v>
      </c>
      <c r="F149" s="181">
        <v>35</v>
      </c>
      <c r="G149" s="189">
        <f t="shared" si="15"/>
        <v>-88.571428571428569</v>
      </c>
      <c r="H149" s="186">
        <f t="shared" si="16"/>
        <v>2.3304591004427874E-2</v>
      </c>
      <c r="I149" s="186">
        <f t="shared" si="17"/>
        <v>0.23970960893089513</v>
      </c>
      <c r="J149" s="180">
        <v>4</v>
      </c>
      <c r="K149" s="181">
        <v>35</v>
      </c>
      <c r="L149" s="189">
        <f t="shared" si="18"/>
        <v>-88.571428571428569</v>
      </c>
      <c r="M149" s="186">
        <f t="shared" si="19"/>
        <v>2.3304591004427874E-2</v>
      </c>
      <c r="N149" s="187">
        <f t="shared" si="20"/>
        <v>0.23970960893089513</v>
      </c>
    </row>
    <row r="150" spans="1:14" collapsed="1">
      <c r="A150" s="178" t="s">
        <v>1145</v>
      </c>
      <c r="B150" s="177" t="s">
        <v>265</v>
      </c>
      <c r="C150" s="184">
        <f t="shared" si="14"/>
        <v>17.511520737327189</v>
      </c>
      <c r="E150" s="180">
        <v>510</v>
      </c>
      <c r="F150" s="181">
        <v>434</v>
      </c>
      <c r="G150" s="189">
        <f t="shared" si="15"/>
        <v>17.511520737327189</v>
      </c>
      <c r="H150" s="186">
        <f t="shared" si="16"/>
        <v>2.9713353530645534</v>
      </c>
      <c r="I150" s="186">
        <f t="shared" si="17"/>
        <v>2.9723991507431</v>
      </c>
      <c r="J150" s="180">
        <v>510</v>
      </c>
      <c r="K150" s="181">
        <v>434</v>
      </c>
      <c r="L150" s="189">
        <f t="shared" si="18"/>
        <v>17.511520737327189</v>
      </c>
      <c r="M150" s="186">
        <f t="shared" si="19"/>
        <v>2.9713353530645534</v>
      </c>
      <c r="N150" s="187">
        <f t="shared" si="20"/>
        <v>2.9723991507431</v>
      </c>
    </row>
    <row r="151" spans="1:14" hidden="1" outlineLevel="1">
      <c r="A151" s="178"/>
      <c r="B151" s="188">
        <v>3008</v>
      </c>
      <c r="C151" s="184">
        <f t="shared" si="14"/>
        <v>343.90243902439022</v>
      </c>
      <c r="E151" s="180">
        <v>182</v>
      </c>
      <c r="F151" s="181">
        <v>41</v>
      </c>
      <c r="G151" s="189">
        <f t="shared" si="15"/>
        <v>343.90243902439022</v>
      </c>
      <c r="H151" s="186">
        <f t="shared" si="16"/>
        <v>1.0603588907014683</v>
      </c>
      <c r="I151" s="186">
        <f t="shared" si="17"/>
        <v>0.28080268474762005</v>
      </c>
      <c r="J151" s="180">
        <v>182</v>
      </c>
      <c r="K151" s="181">
        <v>41</v>
      </c>
      <c r="L151" s="189">
        <f t="shared" si="18"/>
        <v>343.90243902439022</v>
      </c>
      <c r="M151" s="186">
        <f t="shared" si="19"/>
        <v>1.0603588907014683</v>
      </c>
      <c r="N151" s="187">
        <f t="shared" si="20"/>
        <v>0.28080268474762005</v>
      </c>
    </row>
    <row r="152" spans="1:14" hidden="1" outlineLevel="1">
      <c r="A152" s="178"/>
      <c r="B152" s="188">
        <v>5008</v>
      </c>
      <c r="C152" s="184">
        <f t="shared" si="14"/>
        <v>866.66666666666663</v>
      </c>
      <c r="E152" s="180">
        <v>174</v>
      </c>
      <c r="F152" s="181">
        <v>18</v>
      </c>
      <c r="G152" s="189">
        <f t="shared" si="15"/>
        <v>866.66666666666663</v>
      </c>
      <c r="H152" s="186">
        <f t="shared" si="16"/>
        <v>1.0137497086926124</v>
      </c>
      <c r="I152" s="186">
        <f t="shared" si="17"/>
        <v>0.12327922745017465</v>
      </c>
      <c r="J152" s="180">
        <v>174</v>
      </c>
      <c r="K152" s="181">
        <v>18</v>
      </c>
      <c r="L152" s="189">
        <f t="shared" si="18"/>
        <v>866.66666666666663</v>
      </c>
      <c r="M152" s="186">
        <f t="shared" si="19"/>
        <v>1.0137497086926124</v>
      </c>
      <c r="N152" s="187">
        <f t="shared" si="20"/>
        <v>0.12327922745017465</v>
      </c>
    </row>
    <row r="153" spans="1:14" hidden="1" outlineLevel="1">
      <c r="A153" s="178"/>
      <c r="B153" s="188">
        <v>2008</v>
      </c>
      <c r="C153" s="184">
        <f t="shared" si="14"/>
        <v>-60.9375</v>
      </c>
      <c r="E153" s="180">
        <v>50</v>
      </c>
      <c r="F153" s="181">
        <v>128</v>
      </c>
      <c r="G153" s="189">
        <f t="shared" si="15"/>
        <v>-60.9375</v>
      </c>
      <c r="H153" s="186">
        <f t="shared" si="16"/>
        <v>0.29130738755534841</v>
      </c>
      <c r="I153" s="186">
        <f t="shared" si="17"/>
        <v>0.87665228409013074</v>
      </c>
      <c r="J153" s="180">
        <v>50</v>
      </c>
      <c r="K153" s="181">
        <v>128</v>
      </c>
      <c r="L153" s="189">
        <f t="shared" si="18"/>
        <v>-60.9375</v>
      </c>
      <c r="M153" s="186">
        <f t="shared" si="19"/>
        <v>0.29130738755534841</v>
      </c>
      <c r="N153" s="187">
        <f t="shared" si="20"/>
        <v>0.87665228409013074</v>
      </c>
    </row>
    <row r="154" spans="1:14" hidden="1" outlineLevel="1">
      <c r="A154" s="178"/>
      <c r="B154" s="188">
        <v>308</v>
      </c>
      <c r="C154" s="184">
        <f t="shared" si="14"/>
        <v>54.166666666666664</v>
      </c>
      <c r="E154" s="180">
        <v>37</v>
      </c>
      <c r="F154" s="181">
        <v>24</v>
      </c>
      <c r="G154" s="189">
        <f t="shared" si="15"/>
        <v>54.166666666666664</v>
      </c>
      <c r="H154" s="186">
        <f t="shared" si="16"/>
        <v>0.21556746679095781</v>
      </c>
      <c r="I154" s="186">
        <f t="shared" si="17"/>
        <v>0.16437230326689953</v>
      </c>
      <c r="J154" s="180">
        <v>37</v>
      </c>
      <c r="K154" s="181">
        <v>24</v>
      </c>
      <c r="L154" s="189">
        <f t="shared" si="18"/>
        <v>54.166666666666664</v>
      </c>
      <c r="M154" s="186">
        <f t="shared" si="19"/>
        <v>0.21556746679095781</v>
      </c>
      <c r="N154" s="187">
        <f t="shared" si="20"/>
        <v>0.16437230326689953</v>
      </c>
    </row>
    <row r="155" spans="1:14" hidden="1" outlineLevel="1">
      <c r="A155" s="178"/>
      <c r="B155" s="188">
        <v>408</v>
      </c>
      <c r="C155" s="184">
        <f t="shared" si="14"/>
        <v>121.42857142857142</v>
      </c>
      <c r="E155" s="180">
        <v>31</v>
      </c>
      <c r="F155" s="181">
        <v>14</v>
      </c>
      <c r="G155" s="189">
        <f t="shared" si="15"/>
        <v>121.42857142857142</v>
      </c>
      <c r="H155" s="186">
        <f t="shared" si="16"/>
        <v>0.18061058028431601</v>
      </c>
      <c r="I155" s="186">
        <f t="shared" si="17"/>
        <v>9.5883843572358046E-2</v>
      </c>
      <c r="J155" s="180">
        <v>31</v>
      </c>
      <c r="K155" s="181">
        <v>14</v>
      </c>
      <c r="L155" s="189">
        <f t="shared" si="18"/>
        <v>121.42857142857142</v>
      </c>
      <c r="M155" s="186">
        <f t="shared" si="19"/>
        <v>0.18061058028431601</v>
      </c>
      <c r="N155" s="187">
        <f t="shared" si="20"/>
        <v>9.5883843572358046E-2</v>
      </c>
    </row>
    <row r="156" spans="1:14" hidden="1" outlineLevel="1">
      <c r="A156" s="178"/>
      <c r="B156" s="188">
        <v>208</v>
      </c>
      <c r="C156" s="184">
        <f t="shared" si="14"/>
        <v>-91</v>
      </c>
      <c r="E156" s="180">
        <v>18</v>
      </c>
      <c r="F156" s="181">
        <v>200</v>
      </c>
      <c r="G156" s="189">
        <f t="shared" si="15"/>
        <v>-91</v>
      </c>
      <c r="H156" s="186">
        <f t="shared" si="16"/>
        <v>0.10487065951992541</v>
      </c>
      <c r="I156" s="186">
        <f t="shared" si="17"/>
        <v>1.3697691938908294</v>
      </c>
      <c r="J156" s="180">
        <v>18</v>
      </c>
      <c r="K156" s="181">
        <v>200</v>
      </c>
      <c r="L156" s="189">
        <f t="shared" si="18"/>
        <v>-91</v>
      </c>
      <c r="M156" s="186">
        <f t="shared" si="19"/>
        <v>0.10487065951992541</v>
      </c>
      <c r="N156" s="187">
        <f t="shared" si="20"/>
        <v>1.3697691938908294</v>
      </c>
    </row>
    <row r="157" spans="1:14" hidden="1" outlineLevel="1">
      <c r="A157" s="178"/>
      <c r="B157" s="188" t="s">
        <v>793</v>
      </c>
      <c r="C157" s="184">
        <f t="shared" si="14"/>
        <v>500</v>
      </c>
      <c r="E157" s="180">
        <v>12</v>
      </c>
      <c r="F157" s="181">
        <v>2</v>
      </c>
      <c r="G157" s="189">
        <f t="shared" si="15"/>
        <v>500</v>
      </c>
      <c r="H157" s="186">
        <f t="shared" si="16"/>
        <v>6.9913773013283623E-2</v>
      </c>
      <c r="I157" s="186">
        <f t="shared" si="17"/>
        <v>1.3697691938908293E-2</v>
      </c>
      <c r="J157" s="180">
        <v>12</v>
      </c>
      <c r="K157" s="181">
        <v>2</v>
      </c>
      <c r="L157" s="189">
        <f t="shared" si="18"/>
        <v>500</v>
      </c>
      <c r="M157" s="186">
        <f t="shared" si="19"/>
        <v>6.9913773013283623E-2</v>
      </c>
      <c r="N157" s="187">
        <f t="shared" si="20"/>
        <v>1.3697691938908293E-2</v>
      </c>
    </row>
    <row r="158" spans="1:14" hidden="1" outlineLevel="1">
      <c r="A158" s="178"/>
      <c r="B158" s="188" t="s">
        <v>794</v>
      </c>
      <c r="C158" s="184" t="str">
        <f t="shared" si="14"/>
        <v/>
      </c>
      <c r="E158" s="180">
        <v>5</v>
      </c>
      <c r="F158" s="181">
        <v>0</v>
      </c>
      <c r="G158" s="189" t="str">
        <f t="shared" si="15"/>
        <v/>
      </c>
      <c r="H158" s="186">
        <f t="shared" si="16"/>
        <v>2.9130738755534843E-2</v>
      </c>
      <c r="I158" s="186" t="str">
        <f t="shared" si="17"/>
        <v/>
      </c>
      <c r="J158" s="180">
        <v>5</v>
      </c>
      <c r="K158" s="181">
        <v>0</v>
      </c>
      <c r="L158" s="189" t="str">
        <f t="shared" si="18"/>
        <v/>
      </c>
      <c r="M158" s="186">
        <f t="shared" si="19"/>
        <v>2.9130738755534843E-2</v>
      </c>
      <c r="N158" s="187" t="str">
        <f t="shared" si="20"/>
        <v/>
      </c>
    </row>
    <row r="159" spans="1:14" hidden="1" outlineLevel="1">
      <c r="A159" s="178"/>
      <c r="B159" s="188">
        <v>508</v>
      </c>
      <c r="C159" s="184">
        <f t="shared" si="14"/>
        <v>-66.666666666666657</v>
      </c>
      <c r="E159" s="180">
        <v>1</v>
      </c>
      <c r="F159" s="181">
        <v>3</v>
      </c>
      <c r="G159" s="189">
        <f t="shared" si="15"/>
        <v>-66.666666666666657</v>
      </c>
      <c r="H159" s="186">
        <f t="shared" si="16"/>
        <v>5.8261477511069686E-3</v>
      </c>
      <c r="I159" s="186">
        <f t="shared" si="17"/>
        <v>2.0546537908362441E-2</v>
      </c>
      <c r="J159" s="180">
        <v>1</v>
      </c>
      <c r="K159" s="181">
        <v>3</v>
      </c>
      <c r="L159" s="189">
        <f t="shared" si="18"/>
        <v>-66.666666666666657</v>
      </c>
      <c r="M159" s="186">
        <f t="shared" si="19"/>
        <v>5.8261477511069686E-3</v>
      </c>
      <c r="N159" s="187">
        <f t="shared" si="20"/>
        <v>2.0546537908362441E-2</v>
      </c>
    </row>
    <row r="160" spans="1:14" hidden="1" outlineLevel="1">
      <c r="A160" s="178"/>
      <c r="B160" s="188" t="s">
        <v>795</v>
      </c>
      <c r="C160" s="184">
        <f t="shared" si="14"/>
        <v>-100</v>
      </c>
      <c r="E160" s="180">
        <v>0</v>
      </c>
      <c r="F160" s="181">
        <v>4</v>
      </c>
      <c r="G160" s="189">
        <f t="shared" si="15"/>
        <v>-100</v>
      </c>
      <c r="H160" s="186" t="str">
        <f t="shared" si="16"/>
        <v/>
      </c>
      <c r="I160" s="186">
        <f t="shared" si="17"/>
        <v>2.7395383877816586E-2</v>
      </c>
      <c r="J160" s="180">
        <v>0</v>
      </c>
      <c r="K160" s="181">
        <v>4</v>
      </c>
      <c r="L160" s="189">
        <f t="shared" si="18"/>
        <v>-100</v>
      </c>
      <c r="M160" s="186" t="str">
        <f t="shared" si="19"/>
        <v/>
      </c>
      <c r="N160" s="187">
        <f t="shared" si="20"/>
        <v>2.7395383877816586E-2</v>
      </c>
    </row>
    <row r="161" spans="1:14" collapsed="1">
      <c r="A161" s="178" t="s">
        <v>1146</v>
      </c>
      <c r="B161" s="177" t="s">
        <v>249</v>
      </c>
      <c r="C161" s="184">
        <f t="shared" si="14"/>
        <v>210.89743589743591</v>
      </c>
      <c r="E161" s="180">
        <v>485</v>
      </c>
      <c r="F161" s="181">
        <v>156</v>
      </c>
      <c r="G161" s="189">
        <f t="shared" si="15"/>
        <v>210.89743589743591</v>
      </c>
      <c r="H161" s="186">
        <f t="shared" si="16"/>
        <v>2.8256816592868796</v>
      </c>
      <c r="I161" s="186">
        <f t="shared" si="17"/>
        <v>1.0684199712348468</v>
      </c>
      <c r="J161" s="180">
        <v>485</v>
      </c>
      <c r="K161" s="181">
        <v>156</v>
      </c>
      <c r="L161" s="189">
        <f t="shared" si="18"/>
        <v>210.89743589743591</v>
      </c>
      <c r="M161" s="186">
        <f t="shared" si="19"/>
        <v>2.8256816592868796</v>
      </c>
      <c r="N161" s="187">
        <f t="shared" si="20"/>
        <v>1.0684199712348468</v>
      </c>
    </row>
    <row r="162" spans="1:14" hidden="1" outlineLevel="1">
      <c r="A162" s="178"/>
      <c r="B162" s="188" t="s">
        <v>783</v>
      </c>
      <c r="C162" s="184">
        <f t="shared" si="14"/>
        <v>1650</v>
      </c>
      <c r="E162" s="180">
        <v>175</v>
      </c>
      <c r="F162" s="181">
        <v>10</v>
      </c>
      <c r="G162" s="189">
        <f t="shared" si="15"/>
        <v>1650</v>
      </c>
      <c r="H162" s="186">
        <f t="shared" si="16"/>
        <v>1.0195758564437194</v>
      </c>
      <c r="I162" s="186">
        <f t="shared" si="17"/>
        <v>6.8488459694541468E-2</v>
      </c>
      <c r="J162" s="180">
        <v>175</v>
      </c>
      <c r="K162" s="181">
        <v>10</v>
      </c>
      <c r="L162" s="189">
        <f t="shared" si="18"/>
        <v>1650</v>
      </c>
      <c r="M162" s="186">
        <f t="shared" si="19"/>
        <v>1.0195758564437194</v>
      </c>
      <c r="N162" s="187">
        <f t="shared" si="20"/>
        <v>6.8488459694541468E-2</v>
      </c>
    </row>
    <row r="163" spans="1:14" hidden="1" outlineLevel="1">
      <c r="A163" s="178"/>
      <c r="B163" s="188" t="s">
        <v>782</v>
      </c>
      <c r="C163" s="184">
        <f t="shared" si="14"/>
        <v>198.27586206896552</v>
      </c>
      <c r="E163" s="180">
        <v>173</v>
      </c>
      <c r="F163" s="181">
        <v>58</v>
      </c>
      <c r="G163" s="189">
        <f t="shared" si="15"/>
        <v>198.27586206896552</v>
      </c>
      <c r="H163" s="186">
        <f t="shared" si="16"/>
        <v>1.0079235609415056</v>
      </c>
      <c r="I163" s="186">
        <f t="shared" si="17"/>
        <v>0.39723306622834059</v>
      </c>
      <c r="J163" s="180">
        <v>173</v>
      </c>
      <c r="K163" s="181">
        <v>58</v>
      </c>
      <c r="L163" s="189">
        <f t="shared" si="18"/>
        <v>198.27586206896552</v>
      </c>
      <c r="M163" s="186">
        <f t="shared" si="19"/>
        <v>1.0079235609415056</v>
      </c>
      <c r="N163" s="187">
        <f t="shared" si="20"/>
        <v>0.39723306622834059</v>
      </c>
    </row>
    <row r="164" spans="1:14" hidden="1" outlineLevel="1">
      <c r="A164" s="178"/>
      <c r="B164" s="188" t="s">
        <v>785</v>
      </c>
      <c r="C164" s="184">
        <f t="shared" si="14"/>
        <v>525</v>
      </c>
      <c r="E164" s="180">
        <v>75</v>
      </c>
      <c r="F164" s="181">
        <v>12</v>
      </c>
      <c r="G164" s="189">
        <f t="shared" si="15"/>
        <v>525</v>
      </c>
      <c r="H164" s="186">
        <f t="shared" si="16"/>
        <v>0.43696108133302264</v>
      </c>
      <c r="I164" s="186">
        <f t="shared" si="17"/>
        <v>8.2186151633449764E-2</v>
      </c>
      <c r="J164" s="180">
        <v>75</v>
      </c>
      <c r="K164" s="181">
        <v>12</v>
      </c>
      <c r="L164" s="189">
        <f t="shared" si="18"/>
        <v>525</v>
      </c>
      <c r="M164" s="186">
        <f t="shared" si="19"/>
        <v>0.43696108133302264</v>
      </c>
      <c r="N164" s="187">
        <f t="shared" si="20"/>
        <v>8.2186151633449764E-2</v>
      </c>
    </row>
    <row r="165" spans="1:14" hidden="1" outlineLevel="1">
      <c r="A165" s="178"/>
      <c r="B165" s="188" t="s">
        <v>786</v>
      </c>
      <c r="C165" s="184">
        <f t="shared" si="14"/>
        <v>350</v>
      </c>
      <c r="E165" s="180">
        <v>36</v>
      </c>
      <c r="F165" s="181">
        <v>8</v>
      </c>
      <c r="G165" s="189">
        <f t="shared" si="15"/>
        <v>350</v>
      </c>
      <c r="H165" s="186">
        <f t="shared" si="16"/>
        <v>0.20974131903985083</v>
      </c>
      <c r="I165" s="186">
        <f t="shared" si="17"/>
        <v>5.4790767755633171E-2</v>
      </c>
      <c r="J165" s="180">
        <v>36</v>
      </c>
      <c r="K165" s="181">
        <v>8</v>
      </c>
      <c r="L165" s="189">
        <f t="shared" si="18"/>
        <v>350</v>
      </c>
      <c r="M165" s="186">
        <f t="shared" si="19"/>
        <v>0.20974131903985083</v>
      </c>
      <c r="N165" s="187">
        <f t="shared" si="20"/>
        <v>5.4790767755633171E-2</v>
      </c>
    </row>
    <row r="166" spans="1:14" hidden="1" outlineLevel="1">
      <c r="A166" s="178"/>
      <c r="B166" s="188" t="s">
        <v>784</v>
      </c>
      <c r="C166" s="184" t="str">
        <f t="shared" si="14"/>
        <v/>
      </c>
      <c r="E166" s="180">
        <v>12</v>
      </c>
      <c r="F166" s="181">
        <v>0</v>
      </c>
      <c r="G166" s="189" t="str">
        <f t="shared" si="15"/>
        <v/>
      </c>
      <c r="H166" s="186">
        <f t="shared" si="16"/>
        <v>6.9913773013283623E-2</v>
      </c>
      <c r="I166" s="186" t="str">
        <f t="shared" si="17"/>
        <v/>
      </c>
      <c r="J166" s="180">
        <v>12</v>
      </c>
      <c r="K166" s="181">
        <v>0</v>
      </c>
      <c r="L166" s="189" t="str">
        <f t="shared" si="18"/>
        <v/>
      </c>
      <c r="M166" s="186">
        <f t="shared" si="19"/>
        <v>6.9913773013283623E-2</v>
      </c>
      <c r="N166" s="187" t="str">
        <f t="shared" si="20"/>
        <v/>
      </c>
    </row>
    <row r="167" spans="1:14" hidden="1" outlineLevel="1">
      <c r="A167" s="178"/>
      <c r="B167" s="188" t="s">
        <v>787</v>
      </c>
      <c r="C167" s="184">
        <f t="shared" si="14"/>
        <v>125</v>
      </c>
      <c r="E167" s="180">
        <v>9</v>
      </c>
      <c r="F167" s="181">
        <v>4</v>
      </c>
      <c r="G167" s="189">
        <f t="shared" si="15"/>
        <v>125</v>
      </c>
      <c r="H167" s="186">
        <f t="shared" si="16"/>
        <v>5.2435329759962707E-2</v>
      </c>
      <c r="I167" s="186">
        <f t="shared" si="17"/>
        <v>2.7395383877816586E-2</v>
      </c>
      <c r="J167" s="180">
        <v>9</v>
      </c>
      <c r="K167" s="181">
        <v>4</v>
      </c>
      <c r="L167" s="189">
        <f t="shared" si="18"/>
        <v>125</v>
      </c>
      <c r="M167" s="186">
        <f t="shared" si="19"/>
        <v>5.2435329759962707E-2</v>
      </c>
      <c r="N167" s="187">
        <f t="shared" si="20"/>
        <v>2.7395383877816586E-2</v>
      </c>
    </row>
    <row r="168" spans="1:14" hidden="1" outlineLevel="1">
      <c r="A168" s="178"/>
      <c r="B168" s="188" t="s">
        <v>792</v>
      </c>
      <c r="C168" s="184">
        <f t="shared" si="14"/>
        <v>-42.857142857142854</v>
      </c>
      <c r="E168" s="180">
        <v>4</v>
      </c>
      <c r="F168" s="181">
        <v>7</v>
      </c>
      <c r="G168" s="189">
        <f t="shared" si="15"/>
        <v>-42.857142857142854</v>
      </c>
      <c r="H168" s="186">
        <f t="shared" si="16"/>
        <v>2.3304591004427874E-2</v>
      </c>
      <c r="I168" s="186">
        <f t="shared" si="17"/>
        <v>4.7941921786179023E-2</v>
      </c>
      <c r="J168" s="180">
        <v>4</v>
      </c>
      <c r="K168" s="181">
        <v>7</v>
      </c>
      <c r="L168" s="189">
        <f t="shared" si="18"/>
        <v>-42.857142857142854</v>
      </c>
      <c r="M168" s="186">
        <f t="shared" si="19"/>
        <v>2.3304591004427874E-2</v>
      </c>
      <c r="N168" s="187">
        <f t="shared" si="20"/>
        <v>4.7941921786179023E-2</v>
      </c>
    </row>
    <row r="169" spans="1:14" hidden="1" outlineLevel="1">
      <c r="A169" s="178"/>
      <c r="B169" s="188" t="s">
        <v>788</v>
      </c>
      <c r="C169" s="184">
        <f t="shared" si="14"/>
        <v>-87.5</v>
      </c>
      <c r="E169" s="180">
        <v>1</v>
      </c>
      <c r="F169" s="181">
        <v>8</v>
      </c>
      <c r="G169" s="189">
        <f t="shared" si="15"/>
        <v>-87.5</v>
      </c>
      <c r="H169" s="186">
        <f t="shared" si="16"/>
        <v>5.8261477511069686E-3</v>
      </c>
      <c r="I169" s="186">
        <f t="shared" si="17"/>
        <v>5.4790767755633171E-2</v>
      </c>
      <c r="J169" s="180">
        <v>1</v>
      </c>
      <c r="K169" s="181">
        <v>8</v>
      </c>
      <c r="L169" s="189">
        <f t="shared" si="18"/>
        <v>-87.5</v>
      </c>
      <c r="M169" s="186">
        <f t="shared" si="19"/>
        <v>5.8261477511069686E-3</v>
      </c>
      <c r="N169" s="187">
        <f t="shared" si="20"/>
        <v>5.4790767755633171E-2</v>
      </c>
    </row>
    <row r="170" spans="1:14" hidden="1" outlineLevel="1">
      <c r="A170" s="178"/>
      <c r="B170" s="188" t="s">
        <v>791</v>
      </c>
      <c r="C170" s="184">
        <f t="shared" si="14"/>
        <v>-100</v>
      </c>
      <c r="E170" s="180">
        <v>0</v>
      </c>
      <c r="F170" s="181">
        <v>26</v>
      </c>
      <c r="G170" s="189">
        <f t="shared" si="15"/>
        <v>-100</v>
      </c>
      <c r="H170" s="186" t="str">
        <f t="shared" si="16"/>
        <v/>
      </c>
      <c r="I170" s="186">
        <f t="shared" si="17"/>
        <v>0.17806999520580782</v>
      </c>
      <c r="J170" s="180">
        <v>0</v>
      </c>
      <c r="K170" s="181">
        <v>26</v>
      </c>
      <c r="L170" s="189">
        <f t="shared" si="18"/>
        <v>-100</v>
      </c>
      <c r="M170" s="186" t="str">
        <f t="shared" si="19"/>
        <v/>
      </c>
      <c r="N170" s="187">
        <f t="shared" si="20"/>
        <v>0.17806999520580782</v>
      </c>
    </row>
    <row r="171" spans="1:14" hidden="1" outlineLevel="1">
      <c r="A171" s="178"/>
      <c r="B171" s="188" t="s">
        <v>789</v>
      </c>
      <c r="C171" s="184">
        <f t="shared" si="14"/>
        <v>-100</v>
      </c>
      <c r="E171" s="180">
        <v>0</v>
      </c>
      <c r="F171" s="181">
        <v>21</v>
      </c>
      <c r="G171" s="189">
        <f t="shared" si="15"/>
        <v>-100</v>
      </c>
      <c r="H171" s="186" t="str">
        <f t="shared" si="16"/>
        <v/>
      </c>
      <c r="I171" s="186">
        <f t="shared" si="17"/>
        <v>0.14382576535853708</v>
      </c>
      <c r="J171" s="180">
        <v>0</v>
      </c>
      <c r="K171" s="181">
        <v>21</v>
      </c>
      <c r="L171" s="189">
        <f t="shared" si="18"/>
        <v>-100</v>
      </c>
      <c r="M171" s="186" t="str">
        <f t="shared" si="19"/>
        <v/>
      </c>
      <c r="N171" s="187">
        <f t="shared" si="20"/>
        <v>0.14382576535853708</v>
      </c>
    </row>
    <row r="172" spans="1:14" hidden="1" outlineLevel="1">
      <c r="A172" s="178"/>
      <c r="B172" s="188" t="s">
        <v>790</v>
      </c>
      <c r="C172" s="184">
        <f t="shared" si="14"/>
        <v>-100</v>
      </c>
      <c r="E172" s="180">
        <v>0</v>
      </c>
      <c r="F172" s="181">
        <v>2</v>
      </c>
      <c r="G172" s="189">
        <f t="shared" si="15"/>
        <v>-100</v>
      </c>
      <c r="H172" s="186" t="str">
        <f t="shared" si="16"/>
        <v/>
      </c>
      <c r="I172" s="186">
        <f t="shared" si="17"/>
        <v>1.3697691938908293E-2</v>
      </c>
      <c r="J172" s="180">
        <v>0</v>
      </c>
      <c r="K172" s="181">
        <v>2</v>
      </c>
      <c r="L172" s="189">
        <f t="shared" si="18"/>
        <v>-100</v>
      </c>
      <c r="M172" s="186" t="str">
        <f t="shared" si="19"/>
        <v/>
      </c>
      <c r="N172" s="187">
        <f t="shared" si="20"/>
        <v>1.3697691938908293E-2</v>
      </c>
    </row>
    <row r="173" spans="1:14" collapsed="1">
      <c r="A173" s="178" t="s">
        <v>1147</v>
      </c>
      <c r="B173" s="177" t="s">
        <v>270</v>
      </c>
      <c r="C173" s="184">
        <f t="shared" si="14"/>
        <v>161.65413533834587</v>
      </c>
      <c r="E173" s="180">
        <v>348</v>
      </c>
      <c r="F173" s="181">
        <v>133</v>
      </c>
      <c r="G173" s="189">
        <f t="shared" si="15"/>
        <v>161.65413533834587</v>
      </c>
      <c r="H173" s="186">
        <f t="shared" si="16"/>
        <v>2.0274994173852248</v>
      </c>
      <c r="I173" s="186">
        <f t="shared" si="17"/>
        <v>0.91089651393740156</v>
      </c>
      <c r="J173" s="180">
        <v>348</v>
      </c>
      <c r="K173" s="181">
        <v>133</v>
      </c>
      <c r="L173" s="189">
        <f t="shared" si="18"/>
        <v>161.65413533834587</v>
      </c>
      <c r="M173" s="186">
        <f t="shared" si="19"/>
        <v>2.0274994173852248</v>
      </c>
      <c r="N173" s="187">
        <f t="shared" si="20"/>
        <v>0.91089651393740156</v>
      </c>
    </row>
    <row r="174" spans="1:14" hidden="1" outlineLevel="1">
      <c r="A174" s="178"/>
      <c r="B174" s="188" t="s">
        <v>855</v>
      </c>
      <c r="C174" s="184">
        <f t="shared" si="14"/>
        <v>170.96774193548387</v>
      </c>
      <c r="E174" s="180">
        <v>252</v>
      </c>
      <c r="F174" s="181">
        <v>93</v>
      </c>
      <c r="G174" s="189">
        <f t="shared" si="15"/>
        <v>170.96774193548387</v>
      </c>
      <c r="H174" s="186">
        <f t="shared" si="16"/>
        <v>1.4681892332789559</v>
      </c>
      <c r="I174" s="186">
        <f t="shared" si="17"/>
        <v>0.63694267515923575</v>
      </c>
      <c r="J174" s="180">
        <v>252</v>
      </c>
      <c r="K174" s="181">
        <v>93</v>
      </c>
      <c r="L174" s="189">
        <f t="shared" si="18"/>
        <v>170.96774193548387</v>
      </c>
      <c r="M174" s="186">
        <f t="shared" si="19"/>
        <v>1.4681892332789559</v>
      </c>
      <c r="N174" s="187">
        <f t="shared" si="20"/>
        <v>0.63694267515923575</v>
      </c>
    </row>
    <row r="175" spans="1:14" hidden="1" outlineLevel="1">
      <c r="A175" s="178"/>
      <c r="B175" s="188" t="s">
        <v>857</v>
      </c>
      <c r="C175" s="184">
        <f t="shared" si="14"/>
        <v>150</v>
      </c>
      <c r="E175" s="180">
        <v>35</v>
      </c>
      <c r="F175" s="181">
        <v>14</v>
      </c>
      <c r="G175" s="189">
        <f t="shared" si="15"/>
        <v>150</v>
      </c>
      <c r="H175" s="186">
        <f t="shared" si="16"/>
        <v>0.20391517128874387</v>
      </c>
      <c r="I175" s="186">
        <f t="shared" si="17"/>
        <v>9.5883843572358046E-2</v>
      </c>
      <c r="J175" s="180">
        <v>35</v>
      </c>
      <c r="K175" s="181">
        <v>14</v>
      </c>
      <c r="L175" s="189">
        <f t="shared" si="18"/>
        <v>150</v>
      </c>
      <c r="M175" s="186">
        <f t="shared" si="19"/>
        <v>0.20391517128874387</v>
      </c>
      <c r="N175" s="187">
        <f t="shared" si="20"/>
        <v>9.5883843572358046E-2</v>
      </c>
    </row>
    <row r="176" spans="1:14" hidden="1" outlineLevel="1">
      <c r="A176" s="178"/>
      <c r="B176" s="188" t="s">
        <v>1107</v>
      </c>
      <c r="C176" s="184" t="str">
        <f t="shared" si="14"/>
        <v/>
      </c>
      <c r="E176" s="180">
        <v>30</v>
      </c>
      <c r="F176" s="181">
        <v>0</v>
      </c>
      <c r="G176" s="189" t="str">
        <f t="shared" si="15"/>
        <v/>
      </c>
      <c r="H176" s="186">
        <f t="shared" si="16"/>
        <v>0.17478443253320905</v>
      </c>
      <c r="I176" s="186" t="str">
        <f t="shared" si="17"/>
        <v/>
      </c>
      <c r="J176" s="180">
        <v>30</v>
      </c>
      <c r="K176" s="181">
        <v>0</v>
      </c>
      <c r="L176" s="189" t="str">
        <f t="shared" si="18"/>
        <v/>
      </c>
      <c r="M176" s="186">
        <f t="shared" si="19"/>
        <v>0.17478443253320905</v>
      </c>
      <c r="N176" s="187" t="str">
        <f t="shared" si="20"/>
        <v/>
      </c>
    </row>
    <row r="177" spans="1:14" hidden="1" outlineLevel="1">
      <c r="A177" s="178"/>
      <c r="B177" s="188" t="s">
        <v>856</v>
      </c>
      <c r="C177" s="184">
        <f t="shared" si="14"/>
        <v>16.666666666666664</v>
      </c>
      <c r="E177" s="180">
        <v>28</v>
      </c>
      <c r="F177" s="181">
        <v>24</v>
      </c>
      <c r="G177" s="189">
        <f t="shared" si="15"/>
        <v>16.666666666666664</v>
      </c>
      <c r="H177" s="186">
        <f t="shared" si="16"/>
        <v>0.16313213703099511</v>
      </c>
      <c r="I177" s="186">
        <f t="shared" si="17"/>
        <v>0.16437230326689953</v>
      </c>
      <c r="J177" s="180">
        <v>28</v>
      </c>
      <c r="K177" s="181">
        <v>24</v>
      </c>
      <c r="L177" s="189">
        <f t="shared" si="18"/>
        <v>16.666666666666664</v>
      </c>
      <c r="M177" s="186">
        <f t="shared" si="19"/>
        <v>0.16313213703099511</v>
      </c>
      <c r="N177" s="187">
        <f t="shared" si="20"/>
        <v>0.16437230326689953</v>
      </c>
    </row>
    <row r="178" spans="1:14" hidden="1" outlineLevel="1">
      <c r="A178" s="178"/>
      <c r="B178" s="188" t="s">
        <v>858</v>
      </c>
      <c r="C178" s="184">
        <f t="shared" si="14"/>
        <v>50</v>
      </c>
      <c r="E178" s="180">
        <v>3</v>
      </c>
      <c r="F178" s="181">
        <v>2</v>
      </c>
      <c r="G178" s="189">
        <f t="shared" si="15"/>
        <v>50</v>
      </c>
      <c r="H178" s="186">
        <f t="shared" si="16"/>
        <v>1.7478443253320906E-2</v>
      </c>
      <c r="I178" s="186">
        <f t="shared" si="17"/>
        <v>1.3697691938908293E-2</v>
      </c>
      <c r="J178" s="180">
        <v>3</v>
      </c>
      <c r="K178" s="181">
        <v>2</v>
      </c>
      <c r="L178" s="189">
        <f t="shared" si="18"/>
        <v>50</v>
      </c>
      <c r="M178" s="186">
        <f t="shared" si="19"/>
        <v>1.7478443253320906E-2</v>
      </c>
      <c r="N178" s="187">
        <f t="shared" si="20"/>
        <v>1.3697691938908293E-2</v>
      </c>
    </row>
    <row r="179" spans="1:14" collapsed="1">
      <c r="A179" s="178" t="s">
        <v>1148</v>
      </c>
      <c r="B179" s="177" t="s">
        <v>263</v>
      </c>
      <c r="C179" s="184">
        <f t="shared" si="14"/>
        <v>77.040816326530617</v>
      </c>
      <c r="E179" s="180">
        <v>347</v>
      </c>
      <c r="F179" s="181">
        <v>196</v>
      </c>
      <c r="G179" s="189">
        <f t="shared" si="15"/>
        <v>77.040816326530617</v>
      </c>
      <c r="H179" s="186">
        <f t="shared" si="16"/>
        <v>2.021673269634118</v>
      </c>
      <c r="I179" s="186">
        <f t="shared" si="17"/>
        <v>1.3423738100130127</v>
      </c>
      <c r="J179" s="180">
        <v>347</v>
      </c>
      <c r="K179" s="181">
        <v>196</v>
      </c>
      <c r="L179" s="189">
        <f t="shared" si="18"/>
        <v>77.040816326530617</v>
      </c>
      <c r="M179" s="186">
        <f t="shared" si="19"/>
        <v>2.021673269634118</v>
      </c>
      <c r="N179" s="187">
        <f t="shared" si="20"/>
        <v>1.3423738100130127</v>
      </c>
    </row>
    <row r="180" spans="1:14" hidden="1" outlineLevel="1">
      <c r="A180" s="178"/>
      <c r="B180" s="188" t="s">
        <v>816</v>
      </c>
      <c r="C180" s="184">
        <f t="shared" si="14"/>
        <v>127.77777777777777</v>
      </c>
      <c r="E180" s="180">
        <v>164</v>
      </c>
      <c r="F180" s="181">
        <v>72</v>
      </c>
      <c r="G180" s="189">
        <f t="shared" si="15"/>
        <v>127.77777777777777</v>
      </c>
      <c r="H180" s="186">
        <f t="shared" si="16"/>
        <v>0.9554882311815428</v>
      </c>
      <c r="I180" s="186">
        <f t="shared" si="17"/>
        <v>0.49311690980069861</v>
      </c>
      <c r="J180" s="180">
        <v>164</v>
      </c>
      <c r="K180" s="181">
        <v>72</v>
      </c>
      <c r="L180" s="189">
        <f t="shared" si="18"/>
        <v>127.77777777777777</v>
      </c>
      <c r="M180" s="186">
        <f t="shared" si="19"/>
        <v>0.9554882311815428</v>
      </c>
      <c r="N180" s="187">
        <f t="shared" si="20"/>
        <v>0.49311690980069861</v>
      </c>
    </row>
    <row r="181" spans="1:14" hidden="1" outlineLevel="1">
      <c r="A181" s="178"/>
      <c r="B181" s="188" t="s">
        <v>817</v>
      </c>
      <c r="C181" s="184">
        <f t="shared" si="14"/>
        <v>20.27027027027027</v>
      </c>
      <c r="E181" s="180">
        <v>89</v>
      </c>
      <c r="F181" s="181">
        <v>74</v>
      </c>
      <c r="G181" s="189">
        <f t="shared" si="15"/>
        <v>20.27027027027027</v>
      </c>
      <c r="H181" s="186">
        <f t="shared" si="16"/>
        <v>0.51852714984852022</v>
      </c>
      <c r="I181" s="186">
        <f t="shared" si="17"/>
        <v>0.50681460173960691</v>
      </c>
      <c r="J181" s="180">
        <v>89</v>
      </c>
      <c r="K181" s="181">
        <v>74</v>
      </c>
      <c r="L181" s="189">
        <f t="shared" si="18"/>
        <v>20.27027027027027</v>
      </c>
      <c r="M181" s="186">
        <f t="shared" si="19"/>
        <v>0.51852714984852022</v>
      </c>
      <c r="N181" s="187">
        <f t="shared" si="20"/>
        <v>0.50681460173960691</v>
      </c>
    </row>
    <row r="182" spans="1:14" hidden="1" outlineLevel="1">
      <c r="A182" s="178"/>
      <c r="B182" s="188" t="s">
        <v>929</v>
      </c>
      <c r="C182" s="184">
        <f t="shared" si="14"/>
        <v>38.461538461538467</v>
      </c>
      <c r="E182" s="180">
        <v>36</v>
      </c>
      <c r="F182" s="181">
        <v>26</v>
      </c>
      <c r="G182" s="189">
        <f t="shared" si="15"/>
        <v>38.461538461538467</v>
      </c>
      <c r="H182" s="186">
        <f t="shared" si="16"/>
        <v>0.20974131903985083</v>
      </c>
      <c r="I182" s="186">
        <f t="shared" si="17"/>
        <v>0.17806999520580782</v>
      </c>
      <c r="J182" s="180">
        <v>36</v>
      </c>
      <c r="K182" s="181">
        <v>26</v>
      </c>
      <c r="L182" s="189">
        <f t="shared" si="18"/>
        <v>38.461538461538467</v>
      </c>
      <c r="M182" s="186">
        <f t="shared" si="19"/>
        <v>0.20974131903985083</v>
      </c>
      <c r="N182" s="187">
        <f t="shared" si="20"/>
        <v>0.17806999520580782</v>
      </c>
    </row>
    <row r="183" spans="1:14" hidden="1" outlineLevel="1">
      <c r="A183" s="178"/>
      <c r="B183" s="188" t="s">
        <v>820</v>
      </c>
      <c r="C183" s="184">
        <f t="shared" si="14"/>
        <v>191.66666666666669</v>
      </c>
      <c r="E183" s="180">
        <v>35</v>
      </c>
      <c r="F183" s="181">
        <v>12</v>
      </c>
      <c r="G183" s="189">
        <f t="shared" si="15"/>
        <v>191.66666666666669</v>
      </c>
      <c r="H183" s="186">
        <f t="shared" si="16"/>
        <v>0.20391517128874387</v>
      </c>
      <c r="I183" s="186">
        <f t="shared" si="17"/>
        <v>8.2186151633449764E-2</v>
      </c>
      <c r="J183" s="180">
        <v>35</v>
      </c>
      <c r="K183" s="181">
        <v>12</v>
      </c>
      <c r="L183" s="189">
        <f t="shared" si="18"/>
        <v>191.66666666666669</v>
      </c>
      <c r="M183" s="186">
        <f t="shared" si="19"/>
        <v>0.20391517128874387</v>
      </c>
      <c r="N183" s="187">
        <f t="shared" si="20"/>
        <v>8.2186151633449764E-2</v>
      </c>
    </row>
    <row r="184" spans="1:14" hidden="1" outlineLevel="1">
      <c r="A184" s="178"/>
      <c r="B184" s="188" t="s">
        <v>818</v>
      </c>
      <c r="C184" s="184">
        <f t="shared" si="14"/>
        <v>1600</v>
      </c>
      <c r="E184" s="180">
        <v>17</v>
      </c>
      <c r="F184" s="181">
        <v>1</v>
      </c>
      <c r="G184" s="189">
        <f t="shared" si="15"/>
        <v>1600</v>
      </c>
      <c r="H184" s="186">
        <f t="shared" si="16"/>
        <v>9.9044511768818469E-2</v>
      </c>
      <c r="I184" s="186">
        <f t="shared" si="17"/>
        <v>6.8488459694541464E-3</v>
      </c>
      <c r="J184" s="180">
        <v>17</v>
      </c>
      <c r="K184" s="181">
        <v>1</v>
      </c>
      <c r="L184" s="189">
        <f t="shared" si="18"/>
        <v>1600</v>
      </c>
      <c r="M184" s="186">
        <f t="shared" si="19"/>
        <v>9.9044511768818469E-2</v>
      </c>
      <c r="N184" s="187">
        <f t="shared" si="20"/>
        <v>6.8488459694541464E-3</v>
      </c>
    </row>
    <row r="185" spans="1:14" hidden="1" outlineLevel="1">
      <c r="A185" s="178"/>
      <c r="B185" s="188" t="s">
        <v>1005</v>
      </c>
      <c r="C185" s="184" t="str">
        <f t="shared" si="14"/>
        <v/>
      </c>
      <c r="E185" s="180">
        <v>5</v>
      </c>
      <c r="F185" s="181">
        <v>0</v>
      </c>
      <c r="G185" s="189" t="str">
        <f t="shared" si="15"/>
        <v/>
      </c>
      <c r="H185" s="186">
        <f t="shared" si="16"/>
        <v>2.9130738755534843E-2</v>
      </c>
      <c r="I185" s="186" t="str">
        <f t="shared" si="17"/>
        <v/>
      </c>
      <c r="J185" s="180">
        <v>5</v>
      </c>
      <c r="K185" s="181">
        <v>0</v>
      </c>
      <c r="L185" s="189" t="str">
        <f t="shared" si="18"/>
        <v/>
      </c>
      <c r="M185" s="186">
        <f t="shared" si="19"/>
        <v>2.9130738755534843E-2</v>
      </c>
      <c r="N185" s="187" t="str">
        <f t="shared" si="20"/>
        <v/>
      </c>
    </row>
    <row r="186" spans="1:14" hidden="1" outlineLevel="1">
      <c r="A186" s="178"/>
      <c r="B186" s="188" t="s">
        <v>821</v>
      </c>
      <c r="C186" s="184">
        <f t="shared" si="14"/>
        <v>-80</v>
      </c>
      <c r="E186" s="180">
        <v>1</v>
      </c>
      <c r="F186" s="181">
        <v>5</v>
      </c>
      <c r="G186" s="189">
        <f t="shared" si="15"/>
        <v>-80</v>
      </c>
      <c r="H186" s="186">
        <f t="shared" si="16"/>
        <v>5.8261477511069686E-3</v>
      </c>
      <c r="I186" s="186">
        <f t="shared" si="17"/>
        <v>3.4244229847270734E-2</v>
      </c>
      <c r="J186" s="180">
        <v>1</v>
      </c>
      <c r="K186" s="181">
        <v>5</v>
      </c>
      <c r="L186" s="189">
        <f t="shared" si="18"/>
        <v>-80</v>
      </c>
      <c r="M186" s="186">
        <f t="shared" si="19"/>
        <v>5.8261477511069686E-3</v>
      </c>
      <c r="N186" s="187">
        <f t="shared" si="20"/>
        <v>3.4244229847270734E-2</v>
      </c>
    </row>
    <row r="187" spans="1:14" hidden="1" outlineLevel="1">
      <c r="A187" s="178"/>
      <c r="B187" s="188" t="s">
        <v>819</v>
      </c>
      <c r="C187" s="184">
        <f t="shared" si="14"/>
        <v>-100</v>
      </c>
      <c r="E187" s="180">
        <v>0</v>
      </c>
      <c r="F187" s="181">
        <v>6</v>
      </c>
      <c r="G187" s="189">
        <f t="shared" si="15"/>
        <v>-100</v>
      </c>
      <c r="H187" s="186" t="str">
        <f t="shared" si="16"/>
        <v/>
      </c>
      <c r="I187" s="186">
        <f t="shared" si="17"/>
        <v>4.1093075816724882E-2</v>
      </c>
      <c r="J187" s="180">
        <v>0</v>
      </c>
      <c r="K187" s="181">
        <v>6</v>
      </c>
      <c r="L187" s="189">
        <f t="shared" si="18"/>
        <v>-100</v>
      </c>
      <c r="M187" s="186" t="str">
        <f t="shared" si="19"/>
        <v/>
      </c>
      <c r="N187" s="187">
        <f t="shared" si="20"/>
        <v>4.1093075816724882E-2</v>
      </c>
    </row>
    <row r="188" spans="1:14" collapsed="1">
      <c r="A188" s="178" t="s">
        <v>1125</v>
      </c>
      <c r="B188" s="177" t="s">
        <v>546</v>
      </c>
      <c r="C188" s="184">
        <f t="shared" si="14"/>
        <v>44.444444444444443</v>
      </c>
      <c r="E188" s="180">
        <v>325</v>
      </c>
      <c r="F188" s="181">
        <v>225</v>
      </c>
      <c r="G188" s="189">
        <f t="shared" si="15"/>
        <v>44.444444444444443</v>
      </c>
      <c r="H188" s="186">
        <f t="shared" si="16"/>
        <v>1.8934980191097646</v>
      </c>
      <c r="I188" s="186">
        <f t="shared" si="17"/>
        <v>1.540990343127183</v>
      </c>
      <c r="J188" s="180">
        <v>325</v>
      </c>
      <c r="K188" s="181">
        <v>225</v>
      </c>
      <c r="L188" s="189">
        <f t="shared" si="18"/>
        <v>44.444444444444443</v>
      </c>
      <c r="M188" s="186">
        <f t="shared" si="19"/>
        <v>1.8934980191097646</v>
      </c>
      <c r="N188" s="187">
        <f t="shared" si="20"/>
        <v>1.540990343127183</v>
      </c>
    </row>
    <row r="189" spans="1:14" hidden="1" outlineLevel="1">
      <c r="A189" s="178"/>
      <c r="B189" s="188" t="s">
        <v>1105</v>
      </c>
      <c r="C189" s="184" t="str">
        <f t="shared" si="14"/>
        <v/>
      </c>
      <c r="E189" s="180">
        <v>259</v>
      </c>
      <c r="F189" s="181">
        <v>0</v>
      </c>
      <c r="G189" s="189" t="str">
        <f t="shared" si="15"/>
        <v/>
      </c>
      <c r="H189" s="186">
        <f t="shared" si="16"/>
        <v>1.5089722675367048</v>
      </c>
      <c r="I189" s="186" t="str">
        <f t="shared" si="17"/>
        <v/>
      </c>
      <c r="J189" s="180">
        <v>259</v>
      </c>
      <c r="K189" s="181">
        <v>0</v>
      </c>
      <c r="L189" s="189" t="str">
        <f t="shared" si="18"/>
        <v/>
      </c>
      <c r="M189" s="186">
        <f t="shared" si="19"/>
        <v>1.5089722675367048</v>
      </c>
      <c r="N189" s="187" t="str">
        <f t="shared" si="20"/>
        <v/>
      </c>
    </row>
    <row r="190" spans="1:14" hidden="1" outlineLevel="1">
      <c r="A190" s="178"/>
      <c r="B190" s="188" t="s">
        <v>928</v>
      </c>
      <c r="C190" s="184">
        <f t="shared" si="14"/>
        <v>3.0303030303030303</v>
      </c>
      <c r="E190" s="180">
        <v>34</v>
      </c>
      <c r="F190" s="181">
        <v>33</v>
      </c>
      <c r="G190" s="189">
        <f t="shared" si="15"/>
        <v>3.0303030303030303</v>
      </c>
      <c r="H190" s="186">
        <f t="shared" si="16"/>
        <v>0.19808902353763694</v>
      </c>
      <c r="I190" s="186">
        <f t="shared" si="17"/>
        <v>0.22601191699198686</v>
      </c>
      <c r="J190" s="180">
        <v>34</v>
      </c>
      <c r="K190" s="181">
        <v>33</v>
      </c>
      <c r="L190" s="189">
        <f t="shared" si="18"/>
        <v>3.0303030303030303</v>
      </c>
      <c r="M190" s="186">
        <f t="shared" si="19"/>
        <v>0.19808902353763694</v>
      </c>
      <c r="N190" s="187">
        <f t="shared" si="20"/>
        <v>0.22601191699198686</v>
      </c>
    </row>
    <row r="191" spans="1:14" hidden="1" outlineLevel="1">
      <c r="A191" s="178"/>
      <c r="B191" s="188" t="s">
        <v>799</v>
      </c>
      <c r="C191" s="184">
        <f t="shared" si="14"/>
        <v>-75.308641975308646</v>
      </c>
      <c r="E191" s="180">
        <v>20</v>
      </c>
      <c r="F191" s="181">
        <v>81</v>
      </c>
      <c r="G191" s="189">
        <f t="shared" si="15"/>
        <v>-75.308641975308646</v>
      </c>
      <c r="H191" s="186">
        <f t="shared" si="16"/>
        <v>0.11652295502213937</v>
      </c>
      <c r="I191" s="186">
        <f t="shared" si="17"/>
        <v>0.55475652352578586</v>
      </c>
      <c r="J191" s="180">
        <v>20</v>
      </c>
      <c r="K191" s="181">
        <v>81</v>
      </c>
      <c r="L191" s="189">
        <f t="shared" si="18"/>
        <v>-75.308641975308646</v>
      </c>
      <c r="M191" s="186">
        <f t="shared" si="19"/>
        <v>0.11652295502213937</v>
      </c>
      <c r="N191" s="187">
        <f t="shared" si="20"/>
        <v>0.55475652352578586</v>
      </c>
    </row>
    <row r="192" spans="1:14" hidden="1" outlineLevel="1">
      <c r="A192" s="178"/>
      <c r="B192" s="188" t="s">
        <v>797</v>
      </c>
      <c r="C192" s="184">
        <f t="shared" si="14"/>
        <v>-87.755102040816325</v>
      </c>
      <c r="E192" s="180">
        <v>6</v>
      </c>
      <c r="F192" s="181">
        <v>49</v>
      </c>
      <c r="G192" s="189">
        <f t="shared" si="15"/>
        <v>-87.755102040816325</v>
      </c>
      <c r="H192" s="186">
        <f t="shared" si="16"/>
        <v>3.4956886506641811E-2</v>
      </c>
      <c r="I192" s="186">
        <f t="shared" si="17"/>
        <v>0.33559345250325318</v>
      </c>
      <c r="J192" s="180">
        <v>6</v>
      </c>
      <c r="K192" s="181">
        <v>49</v>
      </c>
      <c r="L192" s="189">
        <f t="shared" si="18"/>
        <v>-87.755102040816325</v>
      </c>
      <c r="M192" s="186">
        <f t="shared" si="19"/>
        <v>3.4956886506641811E-2</v>
      </c>
      <c r="N192" s="187">
        <f t="shared" si="20"/>
        <v>0.33559345250325318</v>
      </c>
    </row>
    <row r="193" spans="1:14" hidden="1" outlineLevel="1">
      <c r="A193" s="178"/>
      <c r="B193" s="188" t="s">
        <v>798</v>
      </c>
      <c r="C193" s="184">
        <f t="shared" si="14"/>
        <v>-92.72727272727272</v>
      </c>
      <c r="E193" s="180">
        <v>4</v>
      </c>
      <c r="F193" s="181">
        <v>55</v>
      </c>
      <c r="G193" s="189">
        <f t="shared" si="15"/>
        <v>-92.72727272727272</v>
      </c>
      <c r="H193" s="186">
        <f t="shared" si="16"/>
        <v>2.3304591004427874E-2</v>
      </c>
      <c r="I193" s="186">
        <f t="shared" si="17"/>
        <v>0.37668652831997806</v>
      </c>
      <c r="J193" s="180">
        <v>4</v>
      </c>
      <c r="K193" s="181">
        <v>55</v>
      </c>
      <c r="L193" s="189">
        <f t="shared" si="18"/>
        <v>-92.72727272727272</v>
      </c>
      <c r="M193" s="186">
        <f t="shared" si="19"/>
        <v>2.3304591004427874E-2</v>
      </c>
      <c r="N193" s="187">
        <f t="shared" si="20"/>
        <v>0.37668652831997806</v>
      </c>
    </row>
    <row r="194" spans="1:14" hidden="1" outlineLevel="1">
      <c r="A194" s="178"/>
      <c r="B194" s="188" t="s">
        <v>796</v>
      </c>
      <c r="C194" s="184">
        <f t="shared" si="14"/>
        <v>-71.428571428571431</v>
      </c>
      <c r="E194" s="180">
        <v>2</v>
      </c>
      <c r="F194" s="181">
        <v>7</v>
      </c>
      <c r="G194" s="189">
        <f t="shared" si="15"/>
        <v>-71.428571428571431</v>
      </c>
      <c r="H194" s="186">
        <f t="shared" si="16"/>
        <v>1.1652295502213937E-2</v>
      </c>
      <c r="I194" s="186">
        <f t="shared" si="17"/>
        <v>4.7941921786179023E-2</v>
      </c>
      <c r="J194" s="180">
        <v>2</v>
      </c>
      <c r="K194" s="181">
        <v>7</v>
      </c>
      <c r="L194" s="189">
        <f t="shared" si="18"/>
        <v>-71.428571428571431</v>
      </c>
      <c r="M194" s="186">
        <f t="shared" si="19"/>
        <v>1.1652295502213937E-2</v>
      </c>
      <c r="N194" s="187">
        <f t="shared" si="20"/>
        <v>4.7941921786179023E-2</v>
      </c>
    </row>
    <row r="195" spans="1:14" collapsed="1">
      <c r="A195" s="178" t="s">
        <v>1149</v>
      </c>
      <c r="B195" s="177" t="s">
        <v>251</v>
      </c>
      <c r="C195" s="184">
        <f t="shared" si="14"/>
        <v>-2.8112449799196786</v>
      </c>
      <c r="E195" s="180">
        <v>242</v>
      </c>
      <c r="F195" s="181">
        <v>249</v>
      </c>
      <c r="G195" s="189">
        <f t="shared" si="15"/>
        <v>-2.8112449799196786</v>
      </c>
      <c r="H195" s="186">
        <f t="shared" si="16"/>
        <v>1.4099277557678864</v>
      </c>
      <c r="I195" s="186">
        <f t="shared" si="17"/>
        <v>1.7053626463940825</v>
      </c>
      <c r="J195" s="180">
        <v>242</v>
      </c>
      <c r="K195" s="181">
        <v>249</v>
      </c>
      <c r="L195" s="189">
        <f t="shared" si="18"/>
        <v>-2.8112449799196786</v>
      </c>
      <c r="M195" s="186">
        <f t="shared" si="19"/>
        <v>1.4099277557678864</v>
      </c>
      <c r="N195" s="187">
        <f t="shared" si="20"/>
        <v>1.7053626463940825</v>
      </c>
    </row>
    <row r="196" spans="1:14" hidden="1" outlineLevel="1">
      <c r="A196" s="178"/>
      <c r="B196" s="188" t="s">
        <v>811</v>
      </c>
      <c r="C196" s="184">
        <f t="shared" si="14"/>
        <v>223.52941176470588</v>
      </c>
      <c r="E196" s="180">
        <v>55</v>
      </c>
      <c r="F196" s="181">
        <v>17</v>
      </c>
      <c r="G196" s="189">
        <f t="shared" si="15"/>
        <v>223.52941176470588</v>
      </c>
      <c r="H196" s="186">
        <f t="shared" si="16"/>
        <v>0.32043812631088325</v>
      </c>
      <c r="I196" s="186">
        <f t="shared" si="17"/>
        <v>0.1164303814807205</v>
      </c>
      <c r="J196" s="180">
        <v>55</v>
      </c>
      <c r="K196" s="181">
        <v>17</v>
      </c>
      <c r="L196" s="189">
        <f t="shared" si="18"/>
        <v>223.52941176470588</v>
      </c>
      <c r="M196" s="186">
        <f t="shared" si="19"/>
        <v>0.32043812631088325</v>
      </c>
      <c r="N196" s="187">
        <f t="shared" si="20"/>
        <v>0.1164303814807205</v>
      </c>
    </row>
    <row r="197" spans="1:14" hidden="1" outlineLevel="1">
      <c r="A197" s="178"/>
      <c r="B197" s="188" t="s">
        <v>809</v>
      </c>
      <c r="C197" s="184">
        <f t="shared" si="14"/>
        <v>100</v>
      </c>
      <c r="E197" s="180">
        <v>52</v>
      </c>
      <c r="F197" s="181">
        <v>26</v>
      </c>
      <c r="G197" s="189">
        <f t="shared" si="15"/>
        <v>100</v>
      </c>
      <c r="H197" s="186">
        <f t="shared" si="16"/>
        <v>0.30295968305756232</v>
      </c>
      <c r="I197" s="186">
        <f t="shared" si="17"/>
        <v>0.17806999520580782</v>
      </c>
      <c r="J197" s="180">
        <v>52</v>
      </c>
      <c r="K197" s="181">
        <v>26</v>
      </c>
      <c r="L197" s="189">
        <f t="shared" si="18"/>
        <v>100</v>
      </c>
      <c r="M197" s="186">
        <f t="shared" si="19"/>
        <v>0.30295968305756232</v>
      </c>
      <c r="N197" s="187">
        <f t="shared" si="20"/>
        <v>0.17806999520580782</v>
      </c>
    </row>
    <row r="198" spans="1:14" hidden="1" outlineLevel="1">
      <c r="A198" s="178"/>
      <c r="B198" s="188" t="s">
        <v>808</v>
      </c>
      <c r="C198" s="184">
        <f t="shared" si="14"/>
        <v>-46.067415730337082</v>
      </c>
      <c r="E198" s="180">
        <v>48</v>
      </c>
      <c r="F198" s="181">
        <v>89</v>
      </c>
      <c r="G198" s="189">
        <f t="shared" si="15"/>
        <v>-46.067415730337082</v>
      </c>
      <c r="H198" s="186">
        <f t="shared" si="16"/>
        <v>0.27965509205313449</v>
      </c>
      <c r="I198" s="186">
        <f t="shared" si="17"/>
        <v>0.60954729128141905</v>
      </c>
      <c r="J198" s="180">
        <v>48</v>
      </c>
      <c r="K198" s="181">
        <v>89</v>
      </c>
      <c r="L198" s="189">
        <f t="shared" si="18"/>
        <v>-46.067415730337082</v>
      </c>
      <c r="M198" s="186">
        <f t="shared" si="19"/>
        <v>0.27965509205313449</v>
      </c>
      <c r="N198" s="187">
        <f t="shared" si="20"/>
        <v>0.60954729128141905</v>
      </c>
    </row>
    <row r="199" spans="1:14" hidden="1" outlineLevel="1">
      <c r="A199" s="178"/>
      <c r="B199" s="188" t="s">
        <v>812</v>
      </c>
      <c r="C199" s="184">
        <f t="shared" si="14"/>
        <v>0</v>
      </c>
      <c r="E199" s="180">
        <v>34</v>
      </c>
      <c r="F199" s="181">
        <v>34</v>
      </c>
      <c r="G199" s="189">
        <f t="shared" si="15"/>
        <v>0</v>
      </c>
      <c r="H199" s="186">
        <f t="shared" si="16"/>
        <v>0.19808902353763694</v>
      </c>
      <c r="I199" s="186">
        <f t="shared" si="17"/>
        <v>0.23286076296144101</v>
      </c>
      <c r="J199" s="180">
        <v>34</v>
      </c>
      <c r="K199" s="181">
        <v>34</v>
      </c>
      <c r="L199" s="189">
        <f t="shared" si="18"/>
        <v>0</v>
      </c>
      <c r="M199" s="186">
        <f t="shared" si="19"/>
        <v>0.19808902353763694</v>
      </c>
      <c r="N199" s="187">
        <f t="shared" si="20"/>
        <v>0.23286076296144101</v>
      </c>
    </row>
    <row r="200" spans="1:14" hidden="1" outlineLevel="1">
      <c r="A200" s="178"/>
      <c r="B200" s="188" t="s">
        <v>810</v>
      </c>
      <c r="C200" s="184">
        <f t="shared" si="14"/>
        <v>-43.589743589743591</v>
      </c>
      <c r="E200" s="180">
        <v>22</v>
      </c>
      <c r="F200" s="181">
        <v>39</v>
      </c>
      <c r="G200" s="189">
        <f t="shared" si="15"/>
        <v>-43.589743589743591</v>
      </c>
      <c r="H200" s="186">
        <f t="shared" si="16"/>
        <v>0.1281752505243533</v>
      </c>
      <c r="I200" s="186">
        <f t="shared" si="17"/>
        <v>0.26710499280871169</v>
      </c>
      <c r="J200" s="180">
        <v>22</v>
      </c>
      <c r="K200" s="181">
        <v>39</v>
      </c>
      <c r="L200" s="189">
        <f t="shared" si="18"/>
        <v>-43.589743589743591</v>
      </c>
      <c r="M200" s="186">
        <f t="shared" si="19"/>
        <v>0.1281752505243533</v>
      </c>
      <c r="N200" s="187">
        <f t="shared" si="20"/>
        <v>0.26710499280871169</v>
      </c>
    </row>
    <row r="201" spans="1:14" hidden="1" outlineLevel="1">
      <c r="A201" s="178"/>
      <c r="B201" s="188" t="s">
        <v>814</v>
      </c>
      <c r="C201" s="184">
        <f t="shared" si="14"/>
        <v>-21.428571428571427</v>
      </c>
      <c r="E201" s="180">
        <v>11</v>
      </c>
      <c r="F201" s="181">
        <v>14</v>
      </c>
      <c r="G201" s="189">
        <f t="shared" si="15"/>
        <v>-21.428571428571427</v>
      </c>
      <c r="H201" s="186">
        <f t="shared" si="16"/>
        <v>6.4087625262176651E-2</v>
      </c>
      <c r="I201" s="186">
        <f t="shared" si="17"/>
        <v>9.5883843572358046E-2</v>
      </c>
      <c r="J201" s="180">
        <v>11</v>
      </c>
      <c r="K201" s="181">
        <v>14</v>
      </c>
      <c r="L201" s="189">
        <f t="shared" si="18"/>
        <v>-21.428571428571427</v>
      </c>
      <c r="M201" s="186">
        <f t="shared" si="19"/>
        <v>6.4087625262176651E-2</v>
      </c>
      <c r="N201" s="187">
        <f t="shared" si="20"/>
        <v>9.5883843572358046E-2</v>
      </c>
    </row>
    <row r="202" spans="1:14" hidden="1" outlineLevel="1">
      <c r="A202" s="178"/>
      <c r="B202" s="188" t="s">
        <v>813</v>
      </c>
      <c r="C202" s="184">
        <f t="shared" ref="C202:C265" si="21">IF(K202=0,"",SUM(((J202-K202)/K202)*100))</f>
        <v>-65.517241379310349</v>
      </c>
      <c r="E202" s="180">
        <v>10</v>
      </c>
      <c r="F202" s="181">
        <v>29</v>
      </c>
      <c r="G202" s="189">
        <f t="shared" ref="G202:G265" si="22">IF(F202=0,"",SUM(((E202-F202)/F202)*100))</f>
        <v>-65.517241379310349</v>
      </c>
      <c r="H202" s="186">
        <f t="shared" ref="H202:H265" si="23">IF(E202=0,"",SUM((E202/CntPeriod)*100))</f>
        <v>5.8261477511069686E-2</v>
      </c>
      <c r="I202" s="186">
        <f t="shared" ref="I202:I265" si="24">IF(F202=0,"",SUM((F202/CntPeriodPrevYear)*100))</f>
        <v>0.1986165331141703</v>
      </c>
      <c r="J202" s="180">
        <v>10</v>
      </c>
      <c r="K202" s="181">
        <v>29</v>
      </c>
      <c r="L202" s="189">
        <f t="shared" ref="L202:L265" si="25">IF(K202=0,"",SUM(((J202-K202)/K202)*100))</f>
        <v>-65.517241379310349</v>
      </c>
      <c r="M202" s="186">
        <f t="shared" ref="M202:M265" si="26">IF(J202=0,"",SUM((J202/CntYearAck)*100))</f>
        <v>5.8261477511069686E-2</v>
      </c>
      <c r="N202" s="187">
        <f t="shared" ref="N202:N265" si="27">IF(K202=0,"",SUM((K202/CntPrevYearAck)*100))</f>
        <v>0.1986165331141703</v>
      </c>
    </row>
    <row r="203" spans="1:14" hidden="1" outlineLevel="1">
      <c r="A203" s="178"/>
      <c r="B203" s="188" t="s">
        <v>815</v>
      </c>
      <c r="C203" s="184">
        <f t="shared" si="21"/>
        <v>500</v>
      </c>
      <c r="E203" s="180">
        <v>6</v>
      </c>
      <c r="F203" s="181">
        <v>1</v>
      </c>
      <c r="G203" s="189">
        <f t="shared" si="22"/>
        <v>500</v>
      </c>
      <c r="H203" s="186">
        <f t="shared" si="23"/>
        <v>3.4956886506641811E-2</v>
      </c>
      <c r="I203" s="186">
        <f t="shared" si="24"/>
        <v>6.8488459694541464E-3</v>
      </c>
      <c r="J203" s="180">
        <v>6</v>
      </c>
      <c r="K203" s="181">
        <v>1</v>
      </c>
      <c r="L203" s="189">
        <f t="shared" si="25"/>
        <v>500</v>
      </c>
      <c r="M203" s="186">
        <f t="shared" si="26"/>
        <v>3.4956886506641811E-2</v>
      </c>
      <c r="N203" s="187">
        <f t="shared" si="27"/>
        <v>6.8488459694541464E-3</v>
      </c>
    </row>
    <row r="204" spans="1:14" hidden="1" outlineLevel="1">
      <c r="A204" s="178"/>
      <c r="B204" s="188" t="s">
        <v>1076</v>
      </c>
      <c r="C204" s="184" t="str">
        <f t="shared" si="21"/>
        <v/>
      </c>
      <c r="E204" s="180">
        <v>4</v>
      </c>
      <c r="F204" s="181">
        <v>0</v>
      </c>
      <c r="G204" s="189" t="str">
        <f t="shared" si="22"/>
        <v/>
      </c>
      <c r="H204" s="186">
        <f t="shared" si="23"/>
        <v>2.3304591004427874E-2</v>
      </c>
      <c r="I204" s="186" t="str">
        <f t="shared" si="24"/>
        <v/>
      </c>
      <c r="J204" s="180">
        <v>4</v>
      </c>
      <c r="K204" s="181">
        <v>0</v>
      </c>
      <c r="L204" s="189" t="str">
        <f t="shared" si="25"/>
        <v/>
      </c>
      <c r="M204" s="186">
        <f t="shared" si="26"/>
        <v>2.3304591004427874E-2</v>
      </c>
      <c r="N204" s="187" t="str">
        <f t="shared" si="27"/>
        <v/>
      </c>
    </row>
    <row r="205" spans="1:14" collapsed="1">
      <c r="A205" s="178" t="s">
        <v>1150</v>
      </c>
      <c r="B205" s="177" t="s">
        <v>303</v>
      </c>
      <c r="C205" s="184">
        <f t="shared" si="21"/>
        <v>139.17525773195877</v>
      </c>
      <c r="E205" s="180">
        <v>232</v>
      </c>
      <c r="F205" s="181">
        <v>97</v>
      </c>
      <c r="G205" s="189">
        <f t="shared" si="22"/>
        <v>139.17525773195877</v>
      </c>
      <c r="H205" s="186">
        <f t="shared" si="23"/>
        <v>1.3516662782568165</v>
      </c>
      <c r="I205" s="186">
        <f t="shared" si="24"/>
        <v>0.66433805903705223</v>
      </c>
      <c r="J205" s="180">
        <v>232</v>
      </c>
      <c r="K205" s="181">
        <v>97</v>
      </c>
      <c r="L205" s="189">
        <f t="shared" si="25"/>
        <v>139.17525773195877</v>
      </c>
      <c r="M205" s="186">
        <f t="shared" si="26"/>
        <v>1.3516662782568165</v>
      </c>
      <c r="N205" s="187">
        <f t="shared" si="27"/>
        <v>0.66433805903705223</v>
      </c>
    </row>
    <row r="206" spans="1:14" hidden="1" outlineLevel="1">
      <c r="A206" s="178"/>
      <c r="B206" s="188">
        <v>2</v>
      </c>
      <c r="C206" s="184">
        <f t="shared" si="21"/>
        <v>139.17525773195877</v>
      </c>
      <c r="E206" s="180">
        <v>232</v>
      </c>
      <c r="F206" s="181">
        <v>97</v>
      </c>
      <c r="G206" s="189">
        <f t="shared" si="22"/>
        <v>139.17525773195877</v>
      </c>
      <c r="H206" s="186">
        <f t="shared" si="23"/>
        <v>1.3516662782568165</v>
      </c>
      <c r="I206" s="186">
        <f t="shared" si="24"/>
        <v>0.66433805903705223</v>
      </c>
      <c r="J206" s="180">
        <v>232</v>
      </c>
      <c r="K206" s="181">
        <v>97</v>
      </c>
      <c r="L206" s="189">
        <f t="shared" si="25"/>
        <v>139.17525773195877</v>
      </c>
      <c r="M206" s="186">
        <f t="shared" si="26"/>
        <v>1.3516662782568165</v>
      </c>
      <c r="N206" s="187">
        <f t="shared" si="27"/>
        <v>0.66433805903705223</v>
      </c>
    </row>
    <row r="207" spans="1:14" collapsed="1">
      <c r="A207" s="178" t="s">
        <v>1151</v>
      </c>
      <c r="B207" s="177" t="s">
        <v>266</v>
      </c>
      <c r="C207" s="184">
        <f t="shared" si="21"/>
        <v>-13.076923076923078</v>
      </c>
      <c r="E207" s="180">
        <v>226</v>
      </c>
      <c r="F207" s="181">
        <v>260</v>
      </c>
      <c r="G207" s="189">
        <f t="shared" si="22"/>
        <v>-13.076923076923078</v>
      </c>
      <c r="H207" s="186">
        <f t="shared" si="23"/>
        <v>1.3167093917501749</v>
      </c>
      <c r="I207" s="186">
        <f t="shared" si="24"/>
        <v>1.7806999520580784</v>
      </c>
      <c r="J207" s="180">
        <v>226</v>
      </c>
      <c r="K207" s="181">
        <v>260</v>
      </c>
      <c r="L207" s="189">
        <f t="shared" si="25"/>
        <v>-13.076923076923078</v>
      </c>
      <c r="M207" s="186">
        <f t="shared" si="26"/>
        <v>1.3167093917501749</v>
      </c>
      <c r="N207" s="187">
        <f t="shared" si="27"/>
        <v>1.7806999520580784</v>
      </c>
    </row>
    <row r="208" spans="1:14" hidden="1" outlineLevel="1">
      <c r="A208" s="178"/>
      <c r="B208" s="188" t="s">
        <v>847</v>
      </c>
      <c r="C208" s="184">
        <f t="shared" si="21"/>
        <v>46.575342465753423</v>
      </c>
      <c r="E208" s="180">
        <v>107</v>
      </c>
      <c r="F208" s="181">
        <v>73</v>
      </c>
      <c r="G208" s="189">
        <f t="shared" si="22"/>
        <v>46.575342465753423</v>
      </c>
      <c r="H208" s="186">
        <f t="shared" si="23"/>
        <v>0.62339780936844558</v>
      </c>
      <c r="I208" s="186">
        <f t="shared" si="24"/>
        <v>0.49996575577015273</v>
      </c>
      <c r="J208" s="180">
        <v>107</v>
      </c>
      <c r="K208" s="181">
        <v>73</v>
      </c>
      <c r="L208" s="189">
        <f t="shared" si="25"/>
        <v>46.575342465753423</v>
      </c>
      <c r="M208" s="186">
        <f t="shared" si="26"/>
        <v>0.62339780936844558</v>
      </c>
      <c r="N208" s="187">
        <f t="shared" si="27"/>
        <v>0.49996575577015273</v>
      </c>
    </row>
    <row r="209" spans="1:14" hidden="1" outlineLevel="1">
      <c r="A209" s="178"/>
      <c r="B209" s="188" t="s">
        <v>848</v>
      </c>
      <c r="C209" s="184">
        <f t="shared" si="21"/>
        <v>27.586206896551722</v>
      </c>
      <c r="E209" s="180">
        <v>37</v>
      </c>
      <c r="F209" s="181">
        <v>29</v>
      </c>
      <c r="G209" s="189">
        <f t="shared" si="22"/>
        <v>27.586206896551722</v>
      </c>
      <c r="H209" s="186">
        <f t="shared" si="23"/>
        <v>0.21556746679095781</v>
      </c>
      <c r="I209" s="186">
        <f t="shared" si="24"/>
        <v>0.1986165331141703</v>
      </c>
      <c r="J209" s="180">
        <v>37</v>
      </c>
      <c r="K209" s="181">
        <v>29</v>
      </c>
      <c r="L209" s="189">
        <f t="shared" si="25"/>
        <v>27.586206896551722</v>
      </c>
      <c r="M209" s="186">
        <f t="shared" si="26"/>
        <v>0.21556746679095781</v>
      </c>
      <c r="N209" s="187">
        <f t="shared" si="27"/>
        <v>0.1986165331141703</v>
      </c>
    </row>
    <row r="210" spans="1:14" hidden="1" outlineLevel="1">
      <c r="A210" s="178"/>
      <c r="B210" s="188">
        <v>911</v>
      </c>
      <c r="C210" s="184">
        <f t="shared" si="21"/>
        <v>41.666666666666671</v>
      </c>
      <c r="E210" s="180">
        <v>34</v>
      </c>
      <c r="F210" s="181">
        <v>24</v>
      </c>
      <c r="G210" s="189">
        <f t="shared" si="22"/>
        <v>41.666666666666671</v>
      </c>
      <c r="H210" s="186">
        <f t="shared" si="23"/>
        <v>0.19808902353763694</v>
      </c>
      <c r="I210" s="186">
        <f t="shared" si="24"/>
        <v>0.16437230326689953</v>
      </c>
      <c r="J210" s="180">
        <v>34</v>
      </c>
      <c r="K210" s="181">
        <v>24</v>
      </c>
      <c r="L210" s="189">
        <f t="shared" si="25"/>
        <v>41.666666666666671</v>
      </c>
      <c r="M210" s="186">
        <f t="shared" si="26"/>
        <v>0.19808902353763694</v>
      </c>
      <c r="N210" s="187">
        <f t="shared" si="27"/>
        <v>0.16437230326689953</v>
      </c>
    </row>
    <row r="211" spans="1:14" hidden="1" outlineLevel="1">
      <c r="A211" s="178"/>
      <c r="B211" s="188" t="s">
        <v>846</v>
      </c>
      <c r="C211" s="184">
        <f t="shared" si="21"/>
        <v>-82.35294117647058</v>
      </c>
      <c r="E211" s="180">
        <v>18</v>
      </c>
      <c r="F211" s="181">
        <v>102</v>
      </c>
      <c r="G211" s="189">
        <f t="shared" si="22"/>
        <v>-82.35294117647058</v>
      </c>
      <c r="H211" s="186">
        <f t="shared" si="23"/>
        <v>0.10487065951992541</v>
      </c>
      <c r="I211" s="186">
        <f t="shared" si="24"/>
        <v>0.69858228888432294</v>
      </c>
      <c r="J211" s="180">
        <v>18</v>
      </c>
      <c r="K211" s="181">
        <v>102</v>
      </c>
      <c r="L211" s="189">
        <f t="shared" si="25"/>
        <v>-82.35294117647058</v>
      </c>
      <c r="M211" s="186">
        <f t="shared" si="26"/>
        <v>0.10487065951992541</v>
      </c>
      <c r="N211" s="187">
        <f t="shared" si="27"/>
        <v>0.69858228888432294</v>
      </c>
    </row>
    <row r="212" spans="1:14" hidden="1" outlineLevel="1">
      <c r="A212" s="178"/>
      <c r="B212" s="188">
        <v>718</v>
      </c>
      <c r="C212" s="184">
        <f t="shared" si="21"/>
        <v>100</v>
      </c>
      <c r="E212" s="180">
        <v>18</v>
      </c>
      <c r="F212" s="181">
        <v>9</v>
      </c>
      <c r="G212" s="189">
        <f t="shared" si="22"/>
        <v>100</v>
      </c>
      <c r="H212" s="186">
        <f t="shared" si="23"/>
        <v>0.10487065951992541</v>
      </c>
      <c r="I212" s="186">
        <f t="shared" si="24"/>
        <v>6.1639613725087326E-2</v>
      </c>
      <c r="J212" s="180">
        <v>18</v>
      </c>
      <c r="K212" s="181">
        <v>9</v>
      </c>
      <c r="L212" s="189">
        <f t="shared" si="25"/>
        <v>100</v>
      </c>
      <c r="M212" s="186">
        <f t="shared" si="26"/>
        <v>0.10487065951992541</v>
      </c>
      <c r="N212" s="187">
        <f t="shared" si="27"/>
        <v>6.1639613725087326E-2</v>
      </c>
    </row>
    <row r="213" spans="1:14" hidden="1" outlineLevel="1">
      <c r="A213" s="178"/>
      <c r="B213" s="188" t="s">
        <v>849</v>
      </c>
      <c r="C213" s="184">
        <f t="shared" si="21"/>
        <v>-47.826086956521742</v>
      </c>
      <c r="E213" s="180">
        <v>12</v>
      </c>
      <c r="F213" s="181">
        <v>23</v>
      </c>
      <c r="G213" s="189">
        <f t="shared" si="22"/>
        <v>-47.826086956521742</v>
      </c>
      <c r="H213" s="186">
        <f t="shared" si="23"/>
        <v>6.9913773013283623E-2</v>
      </c>
      <c r="I213" s="186">
        <f t="shared" si="24"/>
        <v>0.15752345729744538</v>
      </c>
      <c r="J213" s="180">
        <v>12</v>
      </c>
      <c r="K213" s="181">
        <v>23</v>
      </c>
      <c r="L213" s="189">
        <f t="shared" si="25"/>
        <v>-47.826086956521742</v>
      </c>
      <c r="M213" s="186">
        <f t="shared" si="26"/>
        <v>6.9913773013283623E-2</v>
      </c>
      <c r="N213" s="187">
        <f t="shared" si="27"/>
        <v>0.15752345729744538</v>
      </c>
    </row>
    <row r="214" spans="1:14" collapsed="1">
      <c r="A214" s="178" t="s">
        <v>1152</v>
      </c>
      <c r="B214" s="177" t="s">
        <v>257</v>
      </c>
      <c r="C214" s="184">
        <f t="shared" si="21"/>
        <v>48.251748251748253</v>
      </c>
      <c r="E214" s="180">
        <v>212</v>
      </c>
      <c r="F214" s="181">
        <v>143</v>
      </c>
      <c r="G214" s="189">
        <f t="shared" si="22"/>
        <v>48.251748251748253</v>
      </c>
      <c r="H214" s="186">
        <f t="shared" si="23"/>
        <v>1.2351433232346771</v>
      </c>
      <c r="I214" s="186">
        <f t="shared" si="24"/>
        <v>0.97938497363194288</v>
      </c>
      <c r="J214" s="180">
        <v>212</v>
      </c>
      <c r="K214" s="181">
        <v>143</v>
      </c>
      <c r="L214" s="189">
        <f t="shared" si="25"/>
        <v>48.251748251748253</v>
      </c>
      <c r="M214" s="186">
        <f t="shared" si="26"/>
        <v>1.2351433232346771</v>
      </c>
      <c r="N214" s="187">
        <f t="shared" si="27"/>
        <v>0.97938497363194288</v>
      </c>
    </row>
    <row r="215" spans="1:14" hidden="1" outlineLevel="1">
      <c r="A215" s="178"/>
      <c r="B215" s="188" t="s">
        <v>876</v>
      </c>
      <c r="C215" s="184">
        <f t="shared" si="21"/>
        <v>73.611111111111114</v>
      </c>
      <c r="E215" s="180">
        <v>125</v>
      </c>
      <c r="F215" s="181">
        <v>72</v>
      </c>
      <c r="G215" s="189">
        <f t="shared" si="22"/>
        <v>73.611111111111114</v>
      </c>
      <c r="H215" s="186">
        <f t="shared" si="23"/>
        <v>0.72826846888837093</v>
      </c>
      <c r="I215" s="186">
        <f t="shared" si="24"/>
        <v>0.49311690980069861</v>
      </c>
      <c r="J215" s="180">
        <v>125</v>
      </c>
      <c r="K215" s="181">
        <v>72</v>
      </c>
      <c r="L215" s="189">
        <f t="shared" si="25"/>
        <v>73.611111111111114</v>
      </c>
      <c r="M215" s="186">
        <f t="shared" si="26"/>
        <v>0.72826846888837093</v>
      </c>
      <c r="N215" s="187">
        <f t="shared" si="27"/>
        <v>0.49311690980069861</v>
      </c>
    </row>
    <row r="216" spans="1:14" hidden="1" outlineLevel="1">
      <c r="A216" s="178"/>
      <c r="B216" s="188" t="s">
        <v>1044</v>
      </c>
      <c r="C216" s="184">
        <f t="shared" si="21"/>
        <v>14.705882352941178</v>
      </c>
      <c r="E216" s="180">
        <v>39</v>
      </c>
      <c r="F216" s="181">
        <v>34</v>
      </c>
      <c r="G216" s="189">
        <f t="shared" si="22"/>
        <v>14.705882352941178</v>
      </c>
      <c r="H216" s="186">
        <f t="shared" si="23"/>
        <v>0.22721976229317176</v>
      </c>
      <c r="I216" s="186">
        <f t="shared" si="24"/>
        <v>0.23286076296144101</v>
      </c>
      <c r="J216" s="180">
        <v>39</v>
      </c>
      <c r="K216" s="181">
        <v>34</v>
      </c>
      <c r="L216" s="189">
        <f t="shared" si="25"/>
        <v>14.705882352941178</v>
      </c>
      <c r="M216" s="186">
        <f t="shared" si="26"/>
        <v>0.22721976229317176</v>
      </c>
      <c r="N216" s="187">
        <f t="shared" si="27"/>
        <v>0.23286076296144101</v>
      </c>
    </row>
    <row r="217" spans="1:14" hidden="1" outlineLevel="1">
      <c r="A217" s="178"/>
      <c r="B217" s="188" t="s">
        <v>877</v>
      </c>
      <c r="C217" s="184">
        <f t="shared" si="21"/>
        <v>380</v>
      </c>
      <c r="E217" s="180">
        <v>24</v>
      </c>
      <c r="F217" s="181">
        <v>5</v>
      </c>
      <c r="G217" s="189">
        <f t="shared" si="22"/>
        <v>380</v>
      </c>
      <c r="H217" s="186">
        <f t="shared" si="23"/>
        <v>0.13982754602656725</v>
      </c>
      <c r="I217" s="186">
        <f t="shared" si="24"/>
        <v>3.4244229847270734E-2</v>
      </c>
      <c r="J217" s="180">
        <v>24</v>
      </c>
      <c r="K217" s="181">
        <v>5</v>
      </c>
      <c r="L217" s="189">
        <f t="shared" si="25"/>
        <v>380</v>
      </c>
      <c r="M217" s="186">
        <f t="shared" si="26"/>
        <v>0.13982754602656725</v>
      </c>
      <c r="N217" s="187">
        <f t="shared" si="27"/>
        <v>3.4244229847270734E-2</v>
      </c>
    </row>
    <row r="218" spans="1:14" hidden="1" outlineLevel="1">
      <c r="A218" s="178"/>
      <c r="B218" s="188" t="s">
        <v>951</v>
      </c>
      <c r="C218" s="184">
        <f t="shared" si="21"/>
        <v>-39.285714285714285</v>
      </c>
      <c r="E218" s="180">
        <v>17</v>
      </c>
      <c r="F218" s="181">
        <v>28</v>
      </c>
      <c r="G218" s="189">
        <f t="shared" si="22"/>
        <v>-39.285714285714285</v>
      </c>
      <c r="H218" s="186">
        <f t="shared" si="23"/>
        <v>9.9044511768818469E-2</v>
      </c>
      <c r="I218" s="186">
        <f t="shared" si="24"/>
        <v>0.19176768714471609</v>
      </c>
      <c r="J218" s="180">
        <v>17</v>
      </c>
      <c r="K218" s="181">
        <v>28</v>
      </c>
      <c r="L218" s="189">
        <f t="shared" si="25"/>
        <v>-39.285714285714285</v>
      </c>
      <c r="M218" s="186">
        <f t="shared" si="26"/>
        <v>9.9044511768818469E-2</v>
      </c>
      <c r="N218" s="187">
        <f t="shared" si="27"/>
        <v>0.19176768714471609</v>
      </c>
    </row>
    <row r="219" spans="1:14" hidden="1" outlineLevel="1">
      <c r="A219" s="178"/>
      <c r="B219" s="188" t="s">
        <v>1031</v>
      </c>
      <c r="C219" s="184" t="str">
        <f t="shared" si="21"/>
        <v/>
      </c>
      <c r="E219" s="180">
        <v>5</v>
      </c>
      <c r="F219" s="181">
        <v>0</v>
      </c>
      <c r="G219" s="189" t="str">
        <f t="shared" si="22"/>
        <v/>
      </c>
      <c r="H219" s="186">
        <f t="shared" si="23"/>
        <v>2.9130738755534843E-2</v>
      </c>
      <c r="I219" s="186" t="str">
        <f t="shared" si="24"/>
        <v/>
      </c>
      <c r="J219" s="180">
        <v>5</v>
      </c>
      <c r="K219" s="181">
        <v>0</v>
      </c>
      <c r="L219" s="189" t="str">
        <f t="shared" si="25"/>
        <v/>
      </c>
      <c r="M219" s="186">
        <f t="shared" si="26"/>
        <v>2.9130738755534843E-2</v>
      </c>
      <c r="N219" s="187" t="str">
        <f t="shared" si="27"/>
        <v/>
      </c>
    </row>
    <row r="220" spans="1:14" hidden="1" outlineLevel="1">
      <c r="A220" s="178"/>
      <c r="B220" s="188" t="s">
        <v>1046</v>
      </c>
      <c r="C220" s="184">
        <f t="shared" si="21"/>
        <v>-50</v>
      </c>
      <c r="E220" s="180">
        <v>1</v>
      </c>
      <c r="F220" s="181">
        <v>2</v>
      </c>
      <c r="G220" s="189">
        <f t="shared" si="22"/>
        <v>-50</v>
      </c>
      <c r="H220" s="186">
        <f t="shared" si="23"/>
        <v>5.8261477511069686E-3</v>
      </c>
      <c r="I220" s="186">
        <f t="shared" si="24"/>
        <v>1.3697691938908293E-2</v>
      </c>
      <c r="J220" s="180">
        <v>1</v>
      </c>
      <c r="K220" s="181">
        <v>2</v>
      </c>
      <c r="L220" s="189">
        <f t="shared" si="25"/>
        <v>-50</v>
      </c>
      <c r="M220" s="186">
        <f t="shared" si="26"/>
        <v>5.8261477511069686E-3</v>
      </c>
      <c r="N220" s="187">
        <f t="shared" si="27"/>
        <v>1.3697691938908293E-2</v>
      </c>
    </row>
    <row r="221" spans="1:14" hidden="1" outlineLevel="1">
      <c r="A221" s="178"/>
      <c r="B221" s="188" t="s">
        <v>1108</v>
      </c>
      <c r="C221" s="184" t="str">
        <f t="shared" si="21"/>
        <v/>
      </c>
      <c r="E221" s="180">
        <v>1</v>
      </c>
      <c r="F221" s="181">
        <v>0</v>
      </c>
      <c r="G221" s="189" t="str">
        <f t="shared" si="22"/>
        <v/>
      </c>
      <c r="H221" s="186">
        <f t="shared" si="23"/>
        <v>5.8261477511069686E-3</v>
      </c>
      <c r="I221" s="186" t="str">
        <f t="shared" si="24"/>
        <v/>
      </c>
      <c r="J221" s="180">
        <v>1</v>
      </c>
      <c r="K221" s="181">
        <v>0</v>
      </c>
      <c r="L221" s="189" t="str">
        <f t="shared" si="25"/>
        <v/>
      </c>
      <c r="M221" s="186">
        <f t="shared" si="26"/>
        <v>5.8261477511069686E-3</v>
      </c>
      <c r="N221" s="187" t="str">
        <f t="shared" si="27"/>
        <v/>
      </c>
    </row>
    <row r="222" spans="1:14" hidden="1" outlineLevel="1">
      <c r="A222" s="178"/>
      <c r="B222" s="188" t="s">
        <v>1045</v>
      </c>
      <c r="C222" s="184">
        <f t="shared" si="21"/>
        <v>-100</v>
      </c>
      <c r="E222" s="180">
        <v>0</v>
      </c>
      <c r="F222" s="181">
        <v>1</v>
      </c>
      <c r="G222" s="189">
        <f t="shared" si="22"/>
        <v>-100</v>
      </c>
      <c r="H222" s="186" t="str">
        <f t="shared" si="23"/>
        <v/>
      </c>
      <c r="I222" s="186">
        <f t="shared" si="24"/>
        <v>6.8488459694541464E-3</v>
      </c>
      <c r="J222" s="180">
        <v>0</v>
      </c>
      <c r="K222" s="181">
        <v>1</v>
      </c>
      <c r="L222" s="189">
        <f t="shared" si="25"/>
        <v>-100</v>
      </c>
      <c r="M222" s="186" t="str">
        <f t="shared" si="26"/>
        <v/>
      </c>
      <c r="N222" s="187">
        <f t="shared" si="27"/>
        <v>6.8488459694541464E-3</v>
      </c>
    </row>
    <row r="223" spans="1:14" hidden="1" outlineLevel="1">
      <c r="A223" s="178"/>
      <c r="B223" s="188" t="s">
        <v>1047</v>
      </c>
      <c r="C223" s="184">
        <f t="shared" si="21"/>
        <v>-100</v>
      </c>
      <c r="E223" s="180">
        <v>0</v>
      </c>
      <c r="F223" s="181">
        <v>1</v>
      </c>
      <c r="G223" s="189">
        <f t="shared" si="22"/>
        <v>-100</v>
      </c>
      <c r="H223" s="186" t="str">
        <f t="shared" si="23"/>
        <v/>
      </c>
      <c r="I223" s="186">
        <f t="shared" si="24"/>
        <v>6.8488459694541464E-3</v>
      </c>
      <c r="J223" s="180">
        <v>0</v>
      </c>
      <c r="K223" s="181">
        <v>1</v>
      </c>
      <c r="L223" s="189">
        <f t="shared" si="25"/>
        <v>-100</v>
      </c>
      <c r="M223" s="186" t="str">
        <f t="shared" si="26"/>
        <v/>
      </c>
      <c r="N223" s="187">
        <f t="shared" si="27"/>
        <v>6.8488459694541464E-3</v>
      </c>
    </row>
    <row r="224" spans="1:14" collapsed="1">
      <c r="A224" s="178" t="s">
        <v>1153</v>
      </c>
      <c r="B224" s="177" t="s">
        <v>267</v>
      </c>
      <c r="C224" s="184">
        <f t="shared" si="21"/>
        <v>-39.156626506024097</v>
      </c>
      <c r="E224" s="180">
        <v>202</v>
      </c>
      <c r="F224" s="181">
        <v>332</v>
      </c>
      <c r="G224" s="189">
        <f t="shared" si="22"/>
        <v>-39.156626506024097</v>
      </c>
      <c r="H224" s="186">
        <f t="shared" si="23"/>
        <v>1.1768818457236077</v>
      </c>
      <c r="I224" s="186">
        <f t="shared" si="24"/>
        <v>2.2738168618587768</v>
      </c>
      <c r="J224" s="180">
        <v>202</v>
      </c>
      <c r="K224" s="181">
        <v>332</v>
      </c>
      <c r="L224" s="189">
        <f t="shared" si="25"/>
        <v>-39.156626506024097</v>
      </c>
      <c r="M224" s="186">
        <f t="shared" si="26"/>
        <v>1.1768818457236077</v>
      </c>
      <c r="N224" s="187">
        <f t="shared" si="27"/>
        <v>2.2738168618587768</v>
      </c>
    </row>
    <row r="225" spans="1:14" hidden="1" outlineLevel="1">
      <c r="A225" s="178"/>
      <c r="B225" s="188" t="s">
        <v>1043</v>
      </c>
      <c r="C225" s="184" t="str">
        <f t="shared" si="21"/>
        <v/>
      </c>
      <c r="E225" s="180">
        <v>47</v>
      </c>
      <c r="F225" s="181">
        <v>0</v>
      </c>
      <c r="G225" s="189" t="str">
        <f t="shared" si="22"/>
        <v/>
      </c>
      <c r="H225" s="186">
        <f t="shared" si="23"/>
        <v>0.27382894430202753</v>
      </c>
      <c r="I225" s="186" t="str">
        <f t="shared" si="24"/>
        <v/>
      </c>
      <c r="J225" s="180">
        <v>47</v>
      </c>
      <c r="K225" s="181">
        <v>0</v>
      </c>
      <c r="L225" s="189" t="str">
        <f t="shared" si="25"/>
        <v/>
      </c>
      <c r="M225" s="186">
        <f t="shared" si="26"/>
        <v>0.27382894430202753</v>
      </c>
      <c r="N225" s="187" t="str">
        <f t="shared" si="27"/>
        <v/>
      </c>
    </row>
    <row r="226" spans="1:14" hidden="1" outlineLevel="1">
      <c r="A226" s="178"/>
      <c r="B226" s="188" t="s">
        <v>801</v>
      </c>
      <c r="C226" s="184">
        <f t="shared" si="21"/>
        <v>21.212121212121211</v>
      </c>
      <c r="E226" s="180">
        <v>40</v>
      </c>
      <c r="F226" s="181">
        <v>33</v>
      </c>
      <c r="G226" s="189">
        <f t="shared" si="22"/>
        <v>21.212121212121211</v>
      </c>
      <c r="H226" s="186">
        <f t="shared" si="23"/>
        <v>0.23304591004427874</v>
      </c>
      <c r="I226" s="186">
        <f t="shared" si="24"/>
        <v>0.22601191699198686</v>
      </c>
      <c r="J226" s="180">
        <v>40</v>
      </c>
      <c r="K226" s="181">
        <v>33</v>
      </c>
      <c r="L226" s="189">
        <f t="shared" si="25"/>
        <v>21.212121212121211</v>
      </c>
      <c r="M226" s="186">
        <f t="shared" si="26"/>
        <v>0.23304591004427874</v>
      </c>
      <c r="N226" s="187">
        <f t="shared" si="27"/>
        <v>0.22601191699198686</v>
      </c>
    </row>
    <row r="227" spans="1:14" hidden="1" outlineLevel="1">
      <c r="A227" s="178"/>
      <c r="B227" s="188" t="s">
        <v>805</v>
      </c>
      <c r="C227" s="184" t="str">
        <f t="shared" si="21"/>
        <v/>
      </c>
      <c r="E227" s="180">
        <v>40</v>
      </c>
      <c r="F227" s="181">
        <v>0</v>
      </c>
      <c r="G227" s="189" t="str">
        <f t="shared" si="22"/>
        <v/>
      </c>
      <c r="H227" s="186">
        <f t="shared" si="23"/>
        <v>0.23304591004427874</v>
      </c>
      <c r="I227" s="186" t="str">
        <f t="shared" si="24"/>
        <v/>
      </c>
      <c r="J227" s="180">
        <v>40</v>
      </c>
      <c r="K227" s="181">
        <v>0</v>
      </c>
      <c r="L227" s="189" t="str">
        <f t="shared" si="25"/>
        <v/>
      </c>
      <c r="M227" s="186">
        <f t="shared" si="26"/>
        <v>0.23304591004427874</v>
      </c>
      <c r="N227" s="187" t="str">
        <f t="shared" si="27"/>
        <v/>
      </c>
    </row>
    <row r="228" spans="1:14" hidden="1" outlineLevel="1">
      <c r="A228" s="178"/>
      <c r="B228" s="188" t="s">
        <v>800</v>
      </c>
      <c r="C228" s="184">
        <f t="shared" si="21"/>
        <v>-69.230769230769226</v>
      </c>
      <c r="E228" s="180">
        <v>36</v>
      </c>
      <c r="F228" s="181">
        <v>117</v>
      </c>
      <c r="G228" s="189">
        <f t="shared" si="22"/>
        <v>-69.230769230769226</v>
      </c>
      <c r="H228" s="186">
        <f t="shared" si="23"/>
        <v>0.20974131903985083</v>
      </c>
      <c r="I228" s="186">
        <f t="shared" si="24"/>
        <v>0.8013149784261353</v>
      </c>
      <c r="J228" s="180">
        <v>36</v>
      </c>
      <c r="K228" s="181">
        <v>117</v>
      </c>
      <c r="L228" s="189">
        <f t="shared" si="25"/>
        <v>-69.230769230769226</v>
      </c>
      <c r="M228" s="186">
        <f t="shared" si="26"/>
        <v>0.20974131903985083</v>
      </c>
      <c r="N228" s="187">
        <f t="shared" si="27"/>
        <v>0.8013149784261353</v>
      </c>
    </row>
    <row r="229" spans="1:14" hidden="1" outlineLevel="1">
      <c r="A229" s="178"/>
      <c r="B229" s="188" t="s">
        <v>807</v>
      </c>
      <c r="C229" s="184">
        <f t="shared" si="21"/>
        <v>225</v>
      </c>
      <c r="E229" s="180">
        <v>13</v>
      </c>
      <c r="F229" s="181">
        <v>4</v>
      </c>
      <c r="G229" s="189">
        <f t="shared" si="22"/>
        <v>225</v>
      </c>
      <c r="H229" s="186">
        <f t="shared" si="23"/>
        <v>7.5739920764390581E-2</v>
      </c>
      <c r="I229" s="186">
        <f t="shared" si="24"/>
        <v>2.7395383877816586E-2</v>
      </c>
      <c r="J229" s="180">
        <v>13</v>
      </c>
      <c r="K229" s="181">
        <v>4</v>
      </c>
      <c r="L229" s="189">
        <f t="shared" si="25"/>
        <v>225</v>
      </c>
      <c r="M229" s="186">
        <f t="shared" si="26"/>
        <v>7.5739920764390581E-2</v>
      </c>
      <c r="N229" s="187">
        <f t="shared" si="27"/>
        <v>2.7395383877816586E-2</v>
      </c>
    </row>
    <row r="230" spans="1:14" hidden="1" outlineLevel="1">
      <c r="A230" s="178"/>
      <c r="B230" s="188" t="s">
        <v>802</v>
      </c>
      <c r="C230" s="184">
        <f t="shared" si="21"/>
        <v>-81.818181818181827</v>
      </c>
      <c r="E230" s="180">
        <v>8</v>
      </c>
      <c r="F230" s="181">
        <v>44</v>
      </c>
      <c r="G230" s="189">
        <f t="shared" si="22"/>
        <v>-81.818181818181827</v>
      </c>
      <c r="H230" s="186">
        <f t="shared" si="23"/>
        <v>4.6609182008855748E-2</v>
      </c>
      <c r="I230" s="186">
        <f t="shared" si="24"/>
        <v>0.30134922265598246</v>
      </c>
      <c r="J230" s="180">
        <v>8</v>
      </c>
      <c r="K230" s="181">
        <v>44</v>
      </c>
      <c r="L230" s="189">
        <f t="shared" si="25"/>
        <v>-81.818181818181827</v>
      </c>
      <c r="M230" s="186">
        <f t="shared" si="26"/>
        <v>4.6609182008855748E-2</v>
      </c>
      <c r="N230" s="187">
        <f t="shared" si="27"/>
        <v>0.30134922265598246</v>
      </c>
    </row>
    <row r="231" spans="1:14" hidden="1" outlineLevel="1">
      <c r="A231" s="178"/>
      <c r="B231" s="188" t="s">
        <v>804</v>
      </c>
      <c r="C231" s="184">
        <f t="shared" si="21"/>
        <v>-90.540540540540533</v>
      </c>
      <c r="E231" s="180">
        <v>7</v>
      </c>
      <c r="F231" s="181">
        <v>74</v>
      </c>
      <c r="G231" s="189">
        <f t="shared" si="22"/>
        <v>-90.540540540540533</v>
      </c>
      <c r="H231" s="186">
        <f t="shared" si="23"/>
        <v>4.0783034257748776E-2</v>
      </c>
      <c r="I231" s="186">
        <f t="shared" si="24"/>
        <v>0.50681460173960691</v>
      </c>
      <c r="J231" s="180">
        <v>7</v>
      </c>
      <c r="K231" s="181">
        <v>74</v>
      </c>
      <c r="L231" s="189">
        <f t="shared" si="25"/>
        <v>-90.540540540540533</v>
      </c>
      <c r="M231" s="186">
        <f t="shared" si="26"/>
        <v>4.0783034257748776E-2</v>
      </c>
      <c r="N231" s="187">
        <f t="shared" si="27"/>
        <v>0.50681460173960691</v>
      </c>
    </row>
    <row r="232" spans="1:14" hidden="1" outlineLevel="1">
      <c r="A232" s="178"/>
      <c r="B232" s="188" t="s">
        <v>1077</v>
      </c>
      <c r="C232" s="184" t="str">
        <f t="shared" si="21"/>
        <v/>
      </c>
      <c r="E232" s="180">
        <v>7</v>
      </c>
      <c r="F232" s="181">
        <v>0</v>
      </c>
      <c r="G232" s="189" t="str">
        <f t="shared" si="22"/>
        <v/>
      </c>
      <c r="H232" s="186">
        <f t="shared" si="23"/>
        <v>4.0783034257748776E-2</v>
      </c>
      <c r="I232" s="186" t="str">
        <f t="shared" si="24"/>
        <v/>
      </c>
      <c r="J232" s="180">
        <v>7</v>
      </c>
      <c r="K232" s="181">
        <v>0</v>
      </c>
      <c r="L232" s="189" t="str">
        <f t="shared" si="25"/>
        <v/>
      </c>
      <c r="M232" s="186">
        <f t="shared" si="26"/>
        <v>4.0783034257748776E-2</v>
      </c>
      <c r="N232" s="187" t="str">
        <f t="shared" si="27"/>
        <v/>
      </c>
    </row>
    <row r="233" spans="1:14" hidden="1" outlineLevel="1">
      <c r="A233" s="178"/>
      <c r="B233" s="188" t="s">
        <v>965</v>
      </c>
      <c r="C233" s="184">
        <f t="shared" si="21"/>
        <v>-81.818181818181827</v>
      </c>
      <c r="E233" s="180">
        <v>4</v>
      </c>
      <c r="F233" s="181">
        <v>22</v>
      </c>
      <c r="G233" s="189">
        <f t="shared" si="22"/>
        <v>-81.818181818181827</v>
      </c>
      <c r="H233" s="186">
        <f t="shared" si="23"/>
        <v>2.3304591004427874E-2</v>
      </c>
      <c r="I233" s="186">
        <f t="shared" si="24"/>
        <v>0.15067461132799123</v>
      </c>
      <c r="J233" s="180">
        <v>4</v>
      </c>
      <c r="K233" s="181">
        <v>22</v>
      </c>
      <c r="L233" s="189">
        <f t="shared" si="25"/>
        <v>-81.818181818181827</v>
      </c>
      <c r="M233" s="186">
        <f t="shared" si="26"/>
        <v>2.3304591004427874E-2</v>
      </c>
      <c r="N233" s="187">
        <f t="shared" si="27"/>
        <v>0.15067461132799123</v>
      </c>
    </row>
    <row r="234" spans="1:14" hidden="1" outlineLevel="1">
      <c r="A234" s="178"/>
      <c r="B234" s="188" t="s">
        <v>803</v>
      </c>
      <c r="C234" s="184">
        <f t="shared" si="21"/>
        <v>-100</v>
      </c>
      <c r="E234" s="180">
        <v>0</v>
      </c>
      <c r="F234" s="181">
        <v>24</v>
      </c>
      <c r="G234" s="189">
        <f t="shared" si="22"/>
        <v>-100</v>
      </c>
      <c r="H234" s="186" t="str">
        <f t="shared" si="23"/>
        <v/>
      </c>
      <c r="I234" s="186">
        <f t="shared" si="24"/>
        <v>0.16437230326689953</v>
      </c>
      <c r="J234" s="180">
        <v>0</v>
      </c>
      <c r="K234" s="181">
        <v>24</v>
      </c>
      <c r="L234" s="189">
        <f t="shared" si="25"/>
        <v>-100</v>
      </c>
      <c r="M234" s="186" t="str">
        <f t="shared" si="26"/>
        <v/>
      </c>
      <c r="N234" s="187">
        <f t="shared" si="27"/>
        <v>0.16437230326689953</v>
      </c>
    </row>
    <row r="235" spans="1:14" hidden="1" outlineLevel="1">
      <c r="A235" s="178"/>
      <c r="B235" s="188" t="s">
        <v>806</v>
      </c>
      <c r="C235" s="184">
        <f t="shared" si="21"/>
        <v>-100</v>
      </c>
      <c r="E235" s="180">
        <v>0</v>
      </c>
      <c r="F235" s="181">
        <v>14</v>
      </c>
      <c r="G235" s="189">
        <f t="shared" si="22"/>
        <v>-100</v>
      </c>
      <c r="H235" s="186" t="str">
        <f t="shared" si="23"/>
        <v/>
      </c>
      <c r="I235" s="186">
        <f t="shared" si="24"/>
        <v>9.5883843572358046E-2</v>
      </c>
      <c r="J235" s="180">
        <v>0</v>
      </c>
      <c r="K235" s="181">
        <v>14</v>
      </c>
      <c r="L235" s="189">
        <f t="shared" si="25"/>
        <v>-100</v>
      </c>
      <c r="M235" s="186" t="str">
        <f t="shared" si="26"/>
        <v/>
      </c>
      <c r="N235" s="187">
        <f t="shared" si="27"/>
        <v>9.5883843572358046E-2</v>
      </c>
    </row>
    <row r="236" spans="1:14" collapsed="1">
      <c r="A236" s="178" t="s">
        <v>1154</v>
      </c>
      <c r="B236" s="177" t="s">
        <v>264</v>
      </c>
      <c r="C236" s="184">
        <f t="shared" si="21"/>
        <v>85.148514851485146</v>
      </c>
      <c r="E236" s="180">
        <v>187</v>
      </c>
      <c r="F236" s="181">
        <v>101</v>
      </c>
      <c r="G236" s="189">
        <f t="shared" si="22"/>
        <v>85.148514851485146</v>
      </c>
      <c r="H236" s="186">
        <f t="shared" si="23"/>
        <v>1.0894896294570031</v>
      </c>
      <c r="I236" s="186">
        <f t="shared" si="24"/>
        <v>0.69173344291486882</v>
      </c>
      <c r="J236" s="180">
        <v>187</v>
      </c>
      <c r="K236" s="181">
        <v>101</v>
      </c>
      <c r="L236" s="189">
        <f t="shared" si="25"/>
        <v>85.148514851485146</v>
      </c>
      <c r="M236" s="186">
        <f t="shared" si="26"/>
        <v>1.0894896294570031</v>
      </c>
      <c r="N236" s="187">
        <f t="shared" si="27"/>
        <v>0.69173344291486882</v>
      </c>
    </row>
    <row r="237" spans="1:14" hidden="1" outlineLevel="1">
      <c r="A237" s="178"/>
      <c r="B237" s="188" t="s">
        <v>836</v>
      </c>
      <c r="C237" s="184">
        <f t="shared" si="21"/>
        <v>207.3170731707317</v>
      </c>
      <c r="E237" s="180">
        <v>126</v>
      </c>
      <c r="F237" s="181">
        <v>41</v>
      </c>
      <c r="G237" s="189">
        <f t="shared" si="22"/>
        <v>207.3170731707317</v>
      </c>
      <c r="H237" s="186">
        <f t="shared" si="23"/>
        <v>0.73409461663947795</v>
      </c>
      <c r="I237" s="186">
        <f t="shared" si="24"/>
        <v>0.28080268474762005</v>
      </c>
      <c r="J237" s="180">
        <v>126</v>
      </c>
      <c r="K237" s="181">
        <v>41</v>
      </c>
      <c r="L237" s="189">
        <f t="shared" si="25"/>
        <v>207.3170731707317</v>
      </c>
      <c r="M237" s="186">
        <f t="shared" si="26"/>
        <v>0.73409461663947795</v>
      </c>
      <c r="N237" s="187">
        <f t="shared" si="27"/>
        <v>0.28080268474762005</v>
      </c>
    </row>
    <row r="238" spans="1:14" hidden="1" outlineLevel="1">
      <c r="A238" s="178"/>
      <c r="B238" s="188" t="s">
        <v>838</v>
      </c>
      <c r="C238" s="184">
        <f t="shared" si="21"/>
        <v>642.85714285714289</v>
      </c>
      <c r="E238" s="180">
        <v>52</v>
      </c>
      <c r="F238" s="181">
        <v>7</v>
      </c>
      <c r="G238" s="189">
        <f t="shared" si="22"/>
        <v>642.85714285714289</v>
      </c>
      <c r="H238" s="186">
        <f t="shared" si="23"/>
        <v>0.30295968305756232</v>
      </c>
      <c r="I238" s="186">
        <f t="shared" si="24"/>
        <v>4.7941921786179023E-2</v>
      </c>
      <c r="J238" s="180">
        <v>52</v>
      </c>
      <c r="K238" s="181">
        <v>7</v>
      </c>
      <c r="L238" s="189">
        <f t="shared" si="25"/>
        <v>642.85714285714289</v>
      </c>
      <c r="M238" s="186">
        <f t="shared" si="26"/>
        <v>0.30295968305756232</v>
      </c>
      <c r="N238" s="187">
        <f t="shared" si="27"/>
        <v>4.7941921786179023E-2</v>
      </c>
    </row>
    <row r="239" spans="1:14" hidden="1" outlineLevel="1">
      <c r="A239" s="178"/>
      <c r="B239" s="188" t="s">
        <v>837</v>
      </c>
      <c r="C239" s="184">
        <f t="shared" si="21"/>
        <v>-90.196078431372555</v>
      </c>
      <c r="E239" s="180">
        <v>5</v>
      </c>
      <c r="F239" s="181">
        <v>51</v>
      </c>
      <c r="G239" s="189">
        <f t="shared" si="22"/>
        <v>-90.196078431372555</v>
      </c>
      <c r="H239" s="186">
        <f t="shared" si="23"/>
        <v>2.9130738755534843E-2</v>
      </c>
      <c r="I239" s="186">
        <f t="shared" si="24"/>
        <v>0.34929114444216147</v>
      </c>
      <c r="J239" s="180">
        <v>5</v>
      </c>
      <c r="K239" s="181">
        <v>51</v>
      </c>
      <c r="L239" s="189">
        <f t="shared" si="25"/>
        <v>-90.196078431372555</v>
      </c>
      <c r="M239" s="186">
        <f t="shared" si="26"/>
        <v>2.9130738755534843E-2</v>
      </c>
      <c r="N239" s="187">
        <f t="shared" si="27"/>
        <v>0.34929114444216147</v>
      </c>
    </row>
    <row r="240" spans="1:14" hidden="1" outlineLevel="1">
      <c r="A240" s="178"/>
      <c r="B240" s="188" t="s">
        <v>839</v>
      </c>
      <c r="C240" s="184">
        <f t="shared" si="21"/>
        <v>50</v>
      </c>
      <c r="E240" s="180">
        <v>3</v>
      </c>
      <c r="F240" s="181">
        <v>2</v>
      </c>
      <c r="G240" s="189">
        <f t="shared" si="22"/>
        <v>50</v>
      </c>
      <c r="H240" s="186">
        <f t="shared" si="23"/>
        <v>1.7478443253320906E-2</v>
      </c>
      <c r="I240" s="186">
        <f t="shared" si="24"/>
        <v>1.3697691938908293E-2</v>
      </c>
      <c r="J240" s="180">
        <v>3</v>
      </c>
      <c r="K240" s="181">
        <v>2</v>
      </c>
      <c r="L240" s="189">
        <f t="shared" si="25"/>
        <v>50</v>
      </c>
      <c r="M240" s="186">
        <f t="shared" si="26"/>
        <v>1.7478443253320906E-2</v>
      </c>
      <c r="N240" s="187">
        <f t="shared" si="27"/>
        <v>1.3697691938908293E-2</v>
      </c>
    </row>
    <row r="241" spans="1:14" hidden="1" outlineLevel="1">
      <c r="A241" s="178"/>
      <c r="B241" s="188" t="s">
        <v>840</v>
      </c>
      <c r="C241" s="184" t="str">
        <f t="shared" si="21"/>
        <v/>
      </c>
      <c r="E241" s="180">
        <v>1</v>
      </c>
      <c r="F241" s="181">
        <v>0</v>
      </c>
      <c r="G241" s="189" t="str">
        <f t="shared" si="22"/>
        <v/>
      </c>
      <c r="H241" s="186">
        <f t="shared" si="23"/>
        <v>5.8261477511069686E-3</v>
      </c>
      <c r="I241" s="186" t="str">
        <f t="shared" si="24"/>
        <v/>
      </c>
      <c r="J241" s="180">
        <v>1</v>
      </c>
      <c r="K241" s="181">
        <v>0</v>
      </c>
      <c r="L241" s="189" t="str">
        <f t="shared" si="25"/>
        <v/>
      </c>
      <c r="M241" s="186">
        <f t="shared" si="26"/>
        <v>5.8261477511069686E-3</v>
      </c>
      <c r="N241" s="187" t="str">
        <f t="shared" si="27"/>
        <v/>
      </c>
    </row>
    <row r="242" spans="1:14" collapsed="1">
      <c r="A242" s="178" t="s">
        <v>1155</v>
      </c>
      <c r="B242" s="177" t="s">
        <v>259</v>
      </c>
      <c r="C242" s="184">
        <f t="shared" si="21"/>
        <v>-52.76967930029155</v>
      </c>
      <c r="E242" s="180">
        <v>162</v>
      </c>
      <c r="F242" s="181">
        <v>343</v>
      </c>
      <c r="G242" s="189">
        <f t="shared" si="22"/>
        <v>-52.76967930029155</v>
      </c>
      <c r="H242" s="186">
        <f t="shared" si="23"/>
        <v>0.94383593567932877</v>
      </c>
      <c r="I242" s="186">
        <f t="shared" si="24"/>
        <v>2.3491541675227725</v>
      </c>
      <c r="J242" s="180">
        <v>162</v>
      </c>
      <c r="K242" s="181">
        <v>343</v>
      </c>
      <c r="L242" s="189">
        <f t="shared" si="25"/>
        <v>-52.76967930029155</v>
      </c>
      <c r="M242" s="186">
        <f t="shared" si="26"/>
        <v>0.94383593567932877</v>
      </c>
      <c r="N242" s="187">
        <f t="shared" si="27"/>
        <v>2.3491541675227725</v>
      </c>
    </row>
    <row r="243" spans="1:14" hidden="1" outlineLevel="1">
      <c r="A243" s="178"/>
      <c r="B243" s="188" t="s">
        <v>909</v>
      </c>
      <c r="C243" s="184">
        <f t="shared" si="21"/>
        <v>-1.1764705882352942</v>
      </c>
      <c r="E243" s="180">
        <v>84</v>
      </c>
      <c r="F243" s="181">
        <v>85</v>
      </c>
      <c r="G243" s="189">
        <f t="shared" si="22"/>
        <v>-1.1764705882352942</v>
      </c>
      <c r="H243" s="186">
        <f t="shared" si="23"/>
        <v>0.48939641109298526</v>
      </c>
      <c r="I243" s="186">
        <f t="shared" si="24"/>
        <v>0.58215190740360245</v>
      </c>
      <c r="J243" s="180">
        <v>84</v>
      </c>
      <c r="K243" s="181">
        <v>85</v>
      </c>
      <c r="L243" s="189">
        <f t="shared" si="25"/>
        <v>-1.1764705882352942</v>
      </c>
      <c r="M243" s="186">
        <f t="shared" si="26"/>
        <v>0.48939641109298526</v>
      </c>
      <c r="N243" s="187">
        <f t="shared" si="27"/>
        <v>0.58215190740360245</v>
      </c>
    </row>
    <row r="244" spans="1:14" hidden="1" outlineLevel="1">
      <c r="A244" s="178"/>
      <c r="B244" s="188" t="s">
        <v>864</v>
      </c>
      <c r="C244" s="184">
        <f t="shared" si="21"/>
        <v>-8</v>
      </c>
      <c r="E244" s="180">
        <v>23</v>
      </c>
      <c r="F244" s="181">
        <v>25</v>
      </c>
      <c r="G244" s="189">
        <f t="shared" si="22"/>
        <v>-8</v>
      </c>
      <c r="H244" s="186">
        <f t="shared" si="23"/>
        <v>0.13400139827546026</v>
      </c>
      <c r="I244" s="186">
        <f t="shared" si="24"/>
        <v>0.17122114923635368</v>
      </c>
      <c r="J244" s="180">
        <v>23</v>
      </c>
      <c r="K244" s="181">
        <v>25</v>
      </c>
      <c r="L244" s="189">
        <f t="shared" si="25"/>
        <v>-8</v>
      </c>
      <c r="M244" s="186">
        <f t="shared" si="26"/>
        <v>0.13400139827546026</v>
      </c>
      <c r="N244" s="187">
        <f t="shared" si="27"/>
        <v>0.17122114923635368</v>
      </c>
    </row>
    <row r="245" spans="1:14" hidden="1" outlineLevel="1">
      <c r="A245" s="178"/>
      <c r="B245" s="188" t="s">
        <v>865</v>
      </c>
      <c r="C245" s="184">
        <f t="shared" si="21"/>
        <v>-89.325842696629209</v>
      </c>
      <c r="E245" s="180">
        <v>19</v>
      </c>
      <c r="F245" s="181">
        <v>178</v>
      </c>
      <c r="G245" s="189">
        <f t="shared" si="22"/>
        <v>-89.325842696629209</v>
      </c>
      <c r="H245" s="186">
        <f t="shared" si="23"/>
        <v>0.1106968072710324</v>
      </c>
      <c r="I245" s="186">
        <f t="shared" si="24"/>
        <v>1.2190945825628381</v>
      </c>
      <c r="J245" s="180">
        <v>19</v>
      </c>
      <c r="K245" s="181">
        <v>178</v>
      </c>
      <c r="L245" s="189">
        <f t="shared" si="25"/>
        <v>-89.325842696629209</v>
      </c>
      <c r="M245" s="186">
        <f t="shared" si="26"/>
        <v>0.1106968072710324</v>
      </c>
      <c r="N245" s="187">
        <f t="shared" si="27"/>
        <v>1.2190945825628381</v>
      </c>
    </row>
    <row r="246" spans="1:14" hidden="1" outlineLevel="1">
      <c r="A246" s="178"/>
      <c r="B246" s="188" t="s">
        <v>867</v>
      </c>
      <c r="C246" s="184">
        <f t="shared" si="21"/>
        <v>-27.777777777777779</v>
      </c>
      <c r="E246" s="180">
        <v>13</v>
      </c>
      <c r="F246" s="181">
        <v>18</v>
      </c>
      <c r="G246" s="189">
        <f t="shared" si="22"/>
        <v>-27.777777777777779</v>
      </c>
      <c r="H246" s="186">
        <f t="shared" si="23"/>
        <v>7.5739920764390581E-2</v>
      </c>
      <c r="I246" s="186">
        <f t="shared" si="24"/>
        <v>0.12327922745017465</v>
      </c>
      <c r="J246" s="180">
        <v>13</v>
      </c>
      <c r="K246" s="181">
        <v>18</v>
      </c>
      <c r="L246" s="189">
        <f t="shared" si="25"/>
        <v>-27.777777777777779</v>
      </c>
      <c r="M246" s="186">
        <f t="shared" si="26"/>
        <v>7.5739920764390581E-2</v>
      </c>
      <c r="N246" s="187">
        <f t="shared" si="27"/>
        <v>0.12327922745017465</v>
      </c>
    </row>
    <row r="247" spans="1:14" hidden="1" outlineLevel="1">
      <c r="A247" s="178"/>
      <c r="B247" s="188" t="s">
        <v>868</v>
      </c>
      <c r="C247" s="184">
        <f t="shared" si="21"/>
        <v>-36.84210526315789</v>
      </c>
      <c r="E247" s="180">
        <v>12</v>
      </c>
      <c r="F247" s="181">
        <v>19</v>
      </c>
      <c r="G247" s="189">
        <f t="shared" si="22"/>
        <v>-36.84210526315789</v>
      </c>
      <c r="H247" s="186">
        <f t="shared" si="23"/>
        <v>6.9913773013283623E-2</v>
      </c>
      <c r="I247" s="186">
        <f t="shared" si="24"/>
        <v>0.13012807341962879</v>
      </c>
      <c r="J247" s="180">
        <v>12</v>
      </c>
      <c r="K247" s="181">
        <v>19</v>
      </c>
      <c r="L247" s="189">
        <f t="shared" si="25"/>
        <v>-36.84210526315789</v>
      </c>
      <c r="M247" s="186">
        <f t="shared" si="26"/>
        <v>6.9913773013283623E-2</v>
      </c>
      <c r="N247" s="187">
        <f t="shared" si="27"/>
        <v>0.13012807341962879</v>
      </c>
    </row>
    <row r="248" spans="1:14" hidden="1" outlineLevel="1">
      <c r="A248" s="178"/>
      <c r="B248" s="188" t="s">
        <v>866</v>
      </c>
      <c r="C248" s="184">
        <f t="shared" si="21"/>
        <v>-37.5</v>
      </c>
      <c r="E248" s="180">
        <v>10</v>
      </c>
      <c r="F248" s="181">
        <v>16</v>
      </c>
      <c r="G248" s="189">
        <f t="shared" si="22"/>
        <v>-37.5</v>
      </c>
      <c r="H248" s="186">
        <f t="shared" si="23"/>
        <v>5.8261477511069686E-2</v>
      </c>
      <c r="I248" s="186">
        <f t="shared" si="24"/>
        <v>0.10958153551126634</v>
      </c>
      <c r="J248" s="180">
        <v>10</v>
      </c>
      <c r="K248" s="181">
        <v>16</v>
      </c>
      <c r="L248" s="189">
        <f t="shared" si="25"/>
        <v>-37.5</v>
      </c>
      <c r="M248" s="186">
        <f t="shared" si="26"/>
        <v>5.8261477511069686E-2</v>
      </c>
      <c r="N248" s="187">
        <f t="shared" si="27"/>
        <v>0.10958153551126634</v>
      </c>
    </row>
    <row r="249" spans="1:14" hidden="1" outlineLevel="1">
      <c r="A249" s="178"/>
      <c r="B249" s="188" t="s">
        <v>869</v>
      </c>
      <c r="C249" s="184">
        <f t="shared" si="21"/>
        <v>0</v>
      </c>
      <c r="E249" s="180">
        <v>1</v>
      </c>
      <c r="F249" s="181">
        <v>1</v>
      </c>
      <c r="G249" s="189">
        <f t="shared" si="22"/>
        <v>0</v>
      </c>
      <c r="H249" s="186">
        <f t="shared" si="23"/>
        <v>5.8261477511069686E-3</v>
      </c>
      <c r="I249" s="186">
        <f t="shared" si="24"/>
        <v>6.8488459694541464E-3</v>
      </c>
      <c r="J249" s="180">
        <v>1</v>
      </c>
      <c r="K249" s="181">
        <v>1</v>
      </c>
      <c r="L249" s="189">
        <f t="shared" si="25"/>
        <v>0</v>
      </c>
      <c r="M249" s="186">
        <f t="shared" si="26"/>
        <v>5.8261477511069686E-3</v>
      </c>
      <c r="N249" s="187">
        <f t="shared" si="27"/>
        <v>6.8488459694541464E-3</v>
      </c>
    </row>
    <row r="250" spans="1:14" hidden="1" outlineLevel="1">
      <c r="A250" s="178"/>
      <c r="B250" s="188" t="s">
        <v>870</v>
      </c>
      <c r="C250" s="184">
        <f t="shared" si="21"/>
        <v>-100</v>
      </c>
      <c r="E250" s="180">
        <v>0</v>
      </c>
      <c r="F250" s="181">
        <v>1</v>
      </c>
      <c r="G250" s="189">
        <f t="shared" si="22"/>
        <v>-100</v>
      </c>
      <c r="H250" s="186" t="str">
        <f t="shared" si="23"/>
        <v/>
      </c>
      <c r="I250" s="186">
        <f t="shared" si="24"/>
        <v>6.8488459694541464E-3</v>
      </c>
      <c r="J250" s="180">
        <v>0</v>
      </c>
      <c r="K250" s="181">
        <v>1</v>
      </c>
      <c r="L250" s="189">
        <f t="shared" si="25"/>
        <v>-100</v>
      </c>
      <c r="M250" s="186" t="str">
        <f t="shared" si="26"/>
        <v/>
      </c>
      <c r="N250" s="187">
        <f t="shared" si="27"/>
        <v>6.8488459694541464E-3</v>
      </c>
    </row>
    <row r="251" spans="1:14" collapsed="1">
      <c r="A251" s="178" t="s">
        <v>1156</v>
      </c>
      <c r="B251" s="177" t="s">
        <v>247</v>
      </c>
      <c r="C251" s="184">
        <f t="shared" si="21"/>
        <v>-60.051546391752574</v>
      </c>
      <c r="E251" s="180">
        <v>155</v>
      </c>
      <c r="F251" s="181">
        <v>388</v>
      </c>
      <c r="G251" s="189">
        <f t="shared" si="22"/>
        <v>-60.051546391752574</v>
      </c>
      <c r="H251" s="186">
        <f t="shared" si="23"/>
        <v>0.90305290142158012</v>
      </c>
      <c r="I251" s="186">
        <f t="shared" si="24"/>
        <v>2.6573522361482089</v>
      </c>
      <c r="J251" s="180">
        <v>155</v>
      </c>
      <c r="K251" s="181">
        <v>388</v>
      </c>
      <c r="L251" s="189">
        <f t="shared" si="25"/>
        <v>-60.051546391752574</v>
      </c>
      <c r="M251" s="186">
        <f t="shared" si="26"/>
        <v>0.90305290142158012</v>
      </c>
      <c r="N251" s="187">
        <f t="shared" si="27"/>
        <v>2.6573522361482089</v>
      </c>
    </row>
    <row r="252" spans="1:14" hidden="1" outlineLevel="1">
      <c r="A252" s="178"/>
      <c r="B252" s="188" t="s">
        <v>844</v>
      </c>
      <c r="C252" s="184">
        <f t="shared" si="21"/>
        <v>-48</v>
      </c>
      <c r="E252" s="180">
        <v>91</v>
      </c>
      <c r="F252" s="181">
        <v>175</v>
      </c>
      <c r="G252" s="189">
        <f t="shared" si="22"/>
        <v>-48</v>
      </c>
      <c r="H252" s="186">
        <f t="shared" si="23"/>
        <v>0.53017944535073414</v>
      </c>
      <c r="I252" s="186">
        <f t="shared" si="24"/>
        <v>1.1985480446544758</v>
      </c>
      <c r="J252" s="180">
        <v>91</v>
      </c>
      <c r="K252" s="181">
        <v>175</v>
      </c>
      <c r="L252" s="189">
        <f t="shared" si="25"/>
        <v>-48</v>
      </c>
      <c r="M252" s="186">
        <f t="shared" si="26"/>
        <v>0.53017944535073414</v>
      </c>
      <c r="N252" s="187">
        <f t="shared" si="27"/>
        <v>1.1985480446544758</v>
      </c>
    </row>
    <row r="253" spans="1:14" hidden="1" outlineLevel="1">
      <c r="A253" s="178"/>
      <c r="B253" s="188" t="s">
        <v>843</v>
      </c>
      <c r="C253" s="184">
        <f t="shared" si="21"/>
        <v>-66.438356164383563</v>
      </c>
      <c r="E253" s="180">
        <v>49</v>
      </c>
      <c r="F253" s="181">
        <v>146</v>
      </c>
      <c r="G253" s="189">
        <f t="shared" si="22"/>
        <v>-66.438356164383563</v>
      </c>
      <c r="H253" s="186">
        <f t="shared" si="23"/>
        <v>0.28548123980424145</v>
      </c>
      <c r="I253" s="186">
        <f t="shared" si="24"/>
        <v>0.99993151154030546</v>
      </c>
      <c r="J253" s="180">
        <v>49</v>
      </c>
      <c r="K253" s="181">
        <v>146</v>
      </c>
      <c r="L253" s="189">
        <f t="shared" si="25"/>
        <v>-66.438356164383563</v>
      </c>
      <c r="M253" s="186">
        <f t="shared" si="26"/>
        <v>0.28548123980424145</v>
      </c>
      <c r="N253" s="187">
        <f t="shared" si="27"/>
        <v>0.99993151154030546</v>
      </c>
    </row>
    <row r="254" spans="1:14" hidden="1" outlineLevel="1">
      <c r="A254" s="178"/>
      <c r="B254" s="188" t="s">
        <v>845</v>
      </c>
      <c r="C254" s="184">
        <f t="shared" si="21"/>
        <v>-77.611940298507463</v>
      </c>
      <c r="E254" s="180">
        <v>15</v>
      </c>
      <c r="F254" s="181">
        <v>67</v>
      </c>
      <c r="G254" s="189">
        <f t="shared" si="22"/>
        <v>-77.611940298507463</v>
      </c>
      <c r="H254" s="186">
        <f t="shared" si="23"/>
        <v>8.7392216266604525E-2</v>
      </c>
      <c r="I254" s="186">
        <f t="shared" si="24"/>
        <v>0.45887267995342784</v>
      </c>
      <c r="J254" s="180">
        <v>15</v>
      </c>
      <c r="K254" s="181">
        <v>67</v>
      </c>
      <c r="L254" s="189">
        <f t="shared" si="25"/>
        <v>-77.611940298507463</v>
      </c>
      <c r="M254" s="186">
        <f t="shared" si="26"/>
        <v>8.7392216266604525E-2</v>
      </c>
      <c r="N254" s="187">
        <f t="shared" si="27"/>
        <v>0.45887267995342784</v>
      </c>
    </row>
    <row r="255" spans="1:14" collapsed="1">
      <c r="A255" s="178" t="s">
        <v>1157</v>
      </c>
      <c r="B255" s="177" t="s">
        <v>988</v>
      </c>
      <c r="C255" s="184">
        <f t="shared" si="21"/>
        <v>275.60975609756093</v>
      </c>
      <c r="E255" s="180">
        <v>154</v>
      </c>
      <c r="F255" s="181">
        <v>41</v>
      </c>
      <c r="G255" s="189">
        <f t="shared" si="22"/>
        <v>275.60975609756093</v>
      </c>
      <c r="H255" s="186">
        <f t="shared" si="23"/>
        <v>0.897226753670473</v>
      </c>
      <c r="I255" s="186">
        <f t="shared" si="24"/>
        <v>0.28080268474762005</v>
      </c>
      <c r="J255" s="180">
        <v>154</v>
      </c>
      <c r="K255" s="181">
        <v>41</v>
      </c>
      <c r="L255" s="189">
        <f t="shared" si="25"/>
        <v>275.60975609756093</v>
      </c>
      <c r="M255" s="186">
        <f t="shared" si="26"/>
        <v>0.897226753670473</v>
      </c>
      <c r="N255" s="187">
        <f t="shared" si="27"/>
        <v>0.28080268474762005</v>
      </c>
    </row>
    <row r="256" spans="1:14" hidden="1" outlineLevel="1">
      <c r="A256" s="178"/>
      <c r="B256" s="188" t="s">
        <v>989</v>
      </c>
      <c r="C256" s="184">
        <f t="shared" si="21"/>
        <v>157.14285714285714</v>
      </c>
      <c r="E256" s="180">
        <v>54</v>
      </c>
      <c r="F256" s="181">
        <v>21</v>
      </c>
      <c r="G256" s="189">
        <f t="shared" si="22"/>
        <v>157.14285714285714</v>
      </c>
      <c r="H256" s="186">
        <f t="shared" si="23"/>
        <v>0.3146119785597763</v>
      </c>
      <c r="I256" s="186">
        <f t="shared" si="24"/>
        <v>0.14382576535853708</v>
      </c>
      <c r="J256" s="180">
        <v>54</v>
      </c>
      <c r="K256" s="181">
        <v>21</v>
      </c>
      <c r="L256" s="189">
        <f t="shared" si="25"/>
        <v>157.14285714285714</v>
      </c>
      <c r="M256" s="186">
        <f t="shared" si="26"/>
        <v>0.3146119785597763</v>
      </c>
      <c r="N256" s="187">
        <f t="shared" si="27"/>
        <v>0.14382576535853708</v>
      </c>
    </row>
    <row r="257" spans="1:14" hidden="1" outlineLevel="1">
      <c r="A257" s="178"/>
      <c r="B257" s="188" t="s">
        <v>827</v>
      </c>
      <c r="C257" s="184">
        <f t="shared" si="21"/>
        <v>4200</v>
      </c>
      <c r="E257" s="180">
        <v>43</v>
      </c>
      <c r="F257" s="181">
        <v>1</v>
      </c>
      <c r="G257" s="189">
        <f t="shared" si="22"/>
        <v>4200</v>
      </c>
      <c r="H257" s="186">
        <f t="shared" si="23"/>
        <v>0.25052435329759959</v>
      </c>
      <c r="I257" s="186">
        <f t="shared" si="24"/>
        <v>6.8488459694541464E-3</v>
      </c>
      <c r="J257" s="180">
        <v>43</v>
      </c>
      <c r="K257" s="181">
        <v>1</v>
      </c>
      <c r="L257" s="189">
        <f t="shared" si="25"/>
        <v>4200</v>
      </c>
      <c r="M257" s="186">
        <f t="shared" si="26"/>
        <v>0.25052435329759959</v>
      </c>
      <c r="N257" s="187">
        <f t="shared" si="27"/>
        <v>6.8488459694541464E-3</v>
      </c>
    </row>
    <row r="258" spans="1:14" hidden="1" outlineLevel="1">
      <c r="A258" s="178"/>
      <c r="B258" s="188" t="s">
        <v>824</v>
      </c>
      <c r="C258" s="184">
        <f t="shared" si="21"/>
        <v>1133.3333333333335</v>
      </c>
      <c r="E258" s="180">
        <v>37</v>
      </c>
      <c r="F258" s="181">
        <v>3</v>
      </c>
      <c r="G258" s="189">
        <f t="shared" si="22"/>
        <v>1133.3333333333335</v>
      </c>
      <c r="H258" s="186">
        <f t="shared" si="23"/>
        <v>0.21556746679095781</v>
      </c>
      <c r="I258" s="186">
        <f t="shared" si="24"/>
        <v>2.0546537908362441E-2</v>
      </c>
      <c r="J258" s="180">
        <v>37</v>
      </c>
      <c r="K258" s="181">
        <v>3</v>
      </c>
      <c r="L258" s="189">
        <f t="shared" si="25"/>
        <v>1133.3333333333335</v>
      </c>
      <c r="M258" s="186">
        <f t="shared" si="26"/>
        <v>0.21556746679095781</v>
      </c>
      <c r="N258" s="187">
        <f t="shared" si="27"/>
        <v>2.0546537908362441E-2</v>
      </c>
    </row>
    <row r="259" spans="1:14" hidden="1" outlineLevel="1">
      <c r="A259" s="178"/>
      <c r="B259" s="188" t="s">
        <v>990</v>
      </c>
      <c r="C259" s="184">
        <f t="shared" si="21"/>
        <v>25</v>
      </c>
      <c r="E259" s="180">
        <v>20</v>
      </c>
      <c r="F259" s="181">
        <v>16</v>
      </c>
      <c r="G259" s="189">
        <f t="shared" si="22"/>
        <v>25</v>
      </c>
      <c r="H259" s="186">
        <f t="shared" si="23"/>
        <v>0.11652295502213937</v>
      </c>
      <c r="I259" s="186">
        <f t="shared" si="24"/>
        <v>0.10958153551126634</v>
      </c>
      <c r="J259" s="180">
        <v>20</v>
      </c>
      <c r="K259" s="181">
        <v>16</v>
      </c>
      <c r="L259" s="189">
        <f t="shared" si="25"/>
        <v>25</v>
      </c>
      <c r="M259" s="186">
        <f t="shared" si="26"/>
        <v>0.11652295502213937</v>
      </c>
      <c r="N259" s="187">
        <f t="shared" si="27"/>
        <v>0.10958153551126634</v>
      </c>
    </row>
    <row r="260" spans="1:14" collapsed="1">
      <c r="A260" s="178" t="s">
        <v>1158</v>
      </c>
      <c r="B260" s="177" t="s">
        <v>268</v>
      </c>
      <c r="C260" s="184">
        <f t="shared" si="21"/>
        <v>-23.157894736842106</v>
      </c>
      <c r="E260" s="180">
        <v>146</v>
      </c>
      <c r="F260" s="181">
        <v>190</v>
      </c>
      <c r="G260" s="189">
        <f t="shared" si="22"/>
        <v>-23.157894736842106</v>
      </c>
      <c r="H260" s="186">
        <f t="shared" si="23"/>
        <v>0.85061757166161733</v>
      </c>
      <c r="I260" s="186">
        <f t="shared" si="24"/>
        <v>1.301280734196288</v>
      </c>
      <c r="J260" s="180">
        <v>146</v>
      </c>
      <c r="K260" s="181">
        <v>190</v>
      </c>
      <c r="L260" s="189">
        <f t="shared" si="25"/>
        <v>-23.157894736842106</v>
      </c>
      <c r="M260" s="186">
        <f t="shared" si="26"/>
        <v>0.85061757166161733</v>
      </c>
      <c r="N260" s="187">
        <f t="shared" si="27"/>
        <v>1.301280734196288</v>
      </c>
    </row>
    <row r="261" spans="1:14" hidden="1" outlineLevel="1">
      <c r="A261" s="178"/>
      <c r="B261" s="188" t="s">
        <v>824</v>
      </c>
      <c r="C261" s="184">
        <f t="shared" si="21"/>
        <v>194.73684210526315</v>
      </c>
      <c r="E261" s="180">
        <v>56</v>
      </c>
      <c r="F261" s="181">
        <v>19</v>
      </c>
      <c r="G261" s="189">
        <f t="shared" si="22"/>
        <v>194.73684210526315</v>
      </c>
      <c r="H261" s="186">
        <f t="shared" si="23"/>
        <v>0.32626427406199021</v>
      </c>
      <c r="I261" s="186">
        <f t="shared" si="24"/>
        <v>0.13012807341962879</v>
      </c>
      <c r="J261" s="180">
        <v>56</v>
      </c>
      <c r="K261" s="181">
        <v>19</v>
      </c>
      <c r="L261" s="189">
        <f t="shared" si="25"/>
        <v>194.73684210526315</v>
      </c>
      <c r="M261" s="186">
        <f t="shared" si="26"/>
        <v>0.32626427406199021</v>
      </c>
      <c r="N261" s="187">
        <f t="shared" si="27"/>
        <v>0.13012807341962879</v>
      </c>
    </row>
    <row r="262" spans="1:14" hidden="1" outlineLevel="1">
      <c r="A262" s="178"/>
      <c r="B262" s="188" t="s">
        <v>825</v>
      </c>
      <c r="C262" s="184">
        <f t="shared" si="21"/>
        <v>-64.423076923076934</v>
      </c>
      <c r="E262" s="180">
        <v>37</v>
      </c>
      <c r="F262" s="181">
        <v>104</v>
      </c>
      <c r="G262" s="189">
        <f t="shared" si="22"/>
        <v>-64.423076923076934</v>
      </c>
      <c r="H262" s="186">
        <f t="shared" si="23"/>
        <v>0.21556746679095781</v>
      </c>
      <c r="I262" s="186">
        <f t="shared" si="24"/>
        <v>0.7122799808232313</v>
      </c>
      <c r="J262" s="180">
        <v>37</v>
      </c>
      <c r="K262" s="181">
        <v>104</v>
      </c>
      <c r="L262" s="189">
        <f t="shared" si="25"/>
        <v>-64.423076923076934</v>
      </c>
      <c r="M262" s="186">
        <f t="shared" si="26"/>
        <v>0.21556746679095781</v>
      </c>
      <c r="N262" s="187">
        <f t="shared" si="27"/>
        <v>0.7122799808232313</v>
      </c>
    </row>
    <row r="263" spans="1:14" hidden="1" outlineLevel="1">
      <c r="A263" s="178"/>
      <c r="B263" s="188" t="s">
        <v>828</v>
      </c>
      <c r="C263" s="184" t="str">
        <f t="shared" si="21"/>
        <v/>
      </c>
      <c r="E263" s="180">
        <v>30</v>
      </c>
      <c r="F263" s="181">
        <v>0</v>
      </c>
      <c r="G263" s="189" t="str">
        <f t="shared" si="22"/>
        <v/>
      </c>
      <c r="H263" s="186">
        <f t="shared" si="23"/>
        <v>0.17478443253320905</v>
      </c>
      <c r="I263" s="186" t="str">
        <f t="shared" si="24"/>
        <v/>
      </c>
      <c r="J263" s="180">
        <v>30</v>
      </c>
      <c r="K263" s="181">
        <v>0</v>
      </c>
      <c r="L263" s="189" t="str">
        <f t="shared" si="25"/>
        <v/>
      </c>
      <c r="M263" s="186">
        <f t="shared" si="26"/>
        <v>0.17478443253320905</v>
      </c>
      <c r="N263" s="187" t="str">
        <f t="shared" si="27"/>
        <v/>
      </c>
    </row>
    <row r="264" spans="1:14" hidden="1" outlineLevel="1">
      <c r="A264" s="178"/>
      <c r="B264" s="188" t="s">
        <v>826</v>
      </c>
      <c r="C264" s="184">
        <f t="shared" si="21"/>
        <v>-23.333333333333332</v>
      </c>
      <c r="E264" s="180">
        <v>23</v>
      </c>
      <c r="F264" s="181">
        <v>30</v>
      </c>
      <c r="G264" s="189">
        <f t="shared" si="22"/>
        <v>-23.333333333333332</v>
      </c>
      <c r="H264" s="186">
        <f t="shared" si="23"/>
        <v>0.13400139827546026</v>
      </c>
      <c r="I264" s="186">
        <f t="shared" si="24"/>
        <v>0.20546537908362442</v>
      </c>
      <c r="J264" s="180">
        <v>23</v>
      </c>
      <c r="K264" s="181">
        <v>30</v>
      </c>
      <c r="L264" s="189">
        <f t="shared" si="25"/>
        <v>-23.333333333333332</v>
      </c>
      <c r="M264" s="186">
        <f t="shared" si="26"/>
        <v>0.13400139827546026</v>
      </c>
      <c r="N264" s="187">
        <f t="shared" si="27"/>
        <v>0.20546537908362442</v>
      </c>
    </row>
    <row r="265" spans="1:14" hidden="1" outlineLevel="1">
      <c r="A265" s="178"/>
      <c r="B265" s="188" t="s">
        <v>822</v>
      </c>
      <c r="C265" s="184">
        <f t="shared" si="21"/>
        <v>-100</v>
      </c>
      <c r="E265" s="180">
        <v>0</v>
      </c>
      <c r="F265" s="181">
        <v>17</v>
      </c>
      <c r="G265" s="189">
        <f t="shared" si="22"/>
        <v>-100</v>
      </c>
      <c r="H265" s="186" t="str">
        <f t="shared" si="23"/>
        <v/>
      </c>
      <c r="I265" s="186">
        <f t="shared" si="24"/>
        <v>0.1164303814807205</v>
      </c>
      <c r="J265" s="180">
        <v>0</v>
      </c>
      <c r="K265" s="181">
        <v>17</v>
      </c>
      <c r="L265" s="189">
        <f t="shared" si="25"/>
        <v>-100</v>
      </c>
      <c r="M265" s="186" t="str">
        <f t="shared" si="26"/>
        <v/>
      </c>
      <c r="N265" s="187">
        <f t="shared" si="27"/>
        <v>0.1164303814807205</v>
      </c>
    </row>
    <row r="266" spans="1:14" hidden="1" outlineLevel="1">
      <c r="A266" s="178"/>
      <c r="B266" s="188" t="s">
        <v>823</v>
      </c>
      <c r="C266" s="184">
        <f t="shared" ref="C266:C329" si="28">IF(K266=0,"",SUM(((J266-K266)/K266)*100))</f>
        <v>-100</v>
      </c>
      <c r="E266" s="180">
        <v>0</v>
      </c>
      <c r="F266" s="181">
        <v>12</v>
      </c>
      <c r="G266" s="189">
        <f t="shared" ref="G266:G329" si="29">IF(F266=0,"",SUM(((E266-F266)/F266)*100))</f>
        <v>-100</v>
      </c>
      <c r="H266" s="186" t="str">
        <f t="shared" ref="H266:H329" si="30">IF(E266=0,"",SUM((E266/CntPeriod)*100))</f>
        <v/>
      </c>
      <c r="I266" s="186">
        <f t="shared" ref="I266:I329" si="31">IF(F266=0,"",SUM((F266/CntPeriodPrevYear)*100))</f>
        <v>8.2186151633449764E-2</v>
      </c>
      <c r="J266" s="180">
        <v>0</v>
      </c>
      <c r="K266" s="181">
        <v>12</v>
      </c>
      <c r="L266" s="189">
        <f t="shared" ref="L266:L329" si="32">IF(K266=0,"",SUM(((J266-K266)/K266)*100))</f>
        <v>-100</v>
      </c>
      <c r="M266" s="186" t="str">
        <f t="shared" ref="M266:M329" si="33">IF(J266=0,"",SUM((J266/CntYearAck)*100))</f>
        <v/>
      </c>
      <c r="N266" s="187">
        <f t="shared" ref="N266:N329" si="34">IF(K266=0,"",SUM((K266/CntPrevYearAck)*100))</f>
        <v>8.2186151633449764E-2</v>
      </c>
    </row>
    <row r="267" spans="1:14" hidden="1" outlineLevel="1">
      <c r="A267" s="178"/>
      <c r="B267" s="188" t="s">
        <v>827</v>
      </c>
      <c r="C267" s="184">
        <f t="shared" si="28"/>
        <v>-100</v>
      </c>
      <c r="E267" s="180">
        <v>0</v>
      </c>
      <c r="F267" s="181">
        <v>8</v>
      </c>
      <c r="G267" s="189">
        <f t="shared" si="29"/>
        <v>-100</v>
      </c>
      <c r="H267" s="186" t="str">
        <f t="shared" si="30"/>
        <v/>
      </c>
      <c r="I267" s="186">
        <f t="shared" si="31"/>
        <v>5.4790767755633171E-2</v>
      </c>
      <c r="J267" s="180">
        <v>0</v>
      </c>
      <c r="K267" s="181">
        <v>8</v>
      </c>
      <c r="L267" s="189">
        <f t="shared" si="32"/>
        <v>-100</v>
      </c>
      <c r="M267" s="186" t="str">
        <f t="shared" si="33"/>
        <v/>
      </c>
      <c r="N267" s="187">
        <f t="shared" si="34"/>
        <v>5.4790767755633171E-2</v>
      </c>
    </row>
    <row r="268" spans="1:14" collapsed="1">
      <c r="A268" s="178" t="s">
        <v>1159</v>
      </c>
      <c r="B268" s="177" t="s">
        <v>246</v>
      </c>
      <c r="C268" s="184">
        <f t="shared" si="28"/>
        <v>9.8360655737704921</v>
      </c>
      <c r="E268" s="180">
        <v>134</v>
      </c>
      <c r="F268" s="181">
        <v>122</v>
      </c>
      <c r="G268" s="189">
        <f t="shared" si="29"/>
        <v>9.8360655737704921</v>
      </c>
      <c r="H268" s="186">
        <f t="shared" si="30"/>
        <v>0.78070379864833372</v>
      </c>
      <c r="I268" s="186">
        <f t="shared" si="31"/>
        <v>0.83555920827340591</v>
      </c>
      <c r="J268" s="180">
        <v>134</v>
      </c>
      <c r="K268" s="181">
        <v>122</v>
      </c>
      <c r="L268" s="189">
        <f t="shared" si="32"/>
        <v>9.8360655737704921</v>
      </c>
      <c r="M268" s="186">
        <f t="shared" si="33"/>
        <v>0.78070379864833372</v>
      </c>
      <c r="N268" s="187">
        <f t="shared" si="34"/>
        <v>0.83555920827340591</v>
      </c>
    </row>
    <row r="269" spans="1:14" hidden="1" outlineLevel="1">
      <c r="A269" s="178"/>
      <c r="B269" s="188" t="s">
        <v>829</v>
      </c>
      <c r="C269" s="184">
        <f t="shared" si="28"/>
        <v>300</v>
      </c>
      <c r="E269" s="180">
        <v>48</v>
      </c>
      <c r="F269" s="181">
        <v>12</v>
      </c>
      <c r="G269" s="189">
        <f t="shared" si="29"/>
        <v>300</v>
      </c>
      <c r="H269" s="186">
        <f t="shared" si="30"/>
        <v>0.27965509205313449</v>
      </c>
      <c r="I269" s="186">
        <f t="shared" si="31"/>
        <v>8.2186151633449764E-2</v>
      </c>
      <c r="J269" s="180">
        <v>48</v>
      </c>
      <c r="K269" s="181">
        <v>12</v>
      </c>
      <c r="L269" s="189">
        <f t="shared" si="32"/>
        <v>300</v>
      </c>
      <c r="M269" s="186">
        <f t="shared" si="33"/>
        <v>0.27965509205313449</v>
      </c>
      <c r="N269" s="187">
        <f t="shared" si="34"/>
        <v>8.2186151633449764E-2</v>
      </c>
    </row>
    <row r="270" spans="1:14" hidden="1" outlineLevel="1">
      <c r="A270" s="178"/>
      <c r="B270" s="188" t="s">
        <v>831</v>
      </c>
      <c r="C270" s="184">
        <f t="shared" si="28"/>
        <v>50</v>
      </c>
      <c r="E270" s="180">
        <v>33</v>
      </c>
      <c r="F270" s="181">
        <v>22</v>
      </c>
      <c r="G270" s="189">
        <f t="shared" si="29"/>
        <v>50</v>
      </c>
      <c r="H270" s="186">
        <f t="shared" si="30"/>
        <v>0.19226287578652995</v>
      </c>
      <c r="I270" s="186">
        <f t="shared" si="31"/>
        <v>0.15067461132799123</v>
      </c>
      <c r="J270" s="180">
        <v>33</v>
      </c>
      <c r="K270" s="181">
        <v>22</v>
      </c>
      <c r="L270" s="189">
        <f t="shared" si="32"/>
        <v>50</v>
      </c>
      <c r="M270" s="186">
        <f t="shared" si="33"/>
        <v>0.19226287578652995</v>
      </c>
      <c r="N270" s="187">
        <f t="shared" si="34"/>
        <v>0.15067461132799123</v>
      </c>
    </row>
    <row r="271" spans="1:14" hidden="1" outlineLevel="1">
      <c r="A271" s="178"/>
      <c r="B271" s="188" t="s">
        <v>830</v>
      </c>
      <c r="C271" s="184">
        <f t="shared" si="28"/>
        <v>-64.102564102564102</v>
      </c>
      <c r="E271" s="180">
        <v>28</v>
      </c>
      <c r="F271" s="181">
        <v>78</v>
      </c>
      <c r="G271" s="189">
        <f t="shared" si="29"/>
        <v>-64.102564102564102</v>
      </c>
      <c r="H271" s="186">
        <f t="shared" si="30"/>
        <v>0.16313213703099511</v>
      </c>
      <c r="I271" s="186">
        <f t="shared" si="31"/>
        <v>0.53420998561742339</v>
      </c>
      <c r="J271" s="180">
        <v>28</v>
      </c>
      <c r="K271" s="181">
        <v>78</v>
      </c>
      <c r="L271" s="189">
        <f t="shared" si="32"/>
        <v>-64.102564102564102</v>
      </c>
      <c r="M271" s="186">
        <f t="shared" si="33"/>
        <v>0.16313213703099511</v>
      </c>
      <c r="N271" s="187">
        <f t="shared" si="34"/>
        <v>0.53420998561742339</v>
      </c>
    </row>
    <row r="272" spans="1:14" hidden="1" outlineLevel="1">
      <c r="A272" s="178"/>
      <c r="B272" s="188" t="s">
        <v>832</v>
      </c>
      <c r="C272" s="184" t="str">
        <f t="shared" si="28"/>
        <v/>
      </c>
      <c r="E272" s="180">
        <v>15</v>
      </c>
      <c r="F272" s="181">
        <v>0</v>
      </c>
      <c r="G272" s="189" t="str">
        <f t="shared" si="29"/>
        <v/>
      </c>
      <c r="H272" s="186">
        <f t="shared" si="30"/>
        <v>8.7392216266604525E-2</v>
      </c>
      <c r="I272" s="186" t="str">
        <f t="shared" si="31"/>
        <v/>
      </c>
      <c r="J272" s="180">
        <v>15</v>
      </c>
      <c r="K272" s="181">
        <v>0</v>
      </c>
      <c r="L272" s="189" t="str">
        <f t="shared" si="32"/>
        <v/>
      </c>
      <c r="M272" s="186">
        <f t="shared" si="33"/>
        <v>8.7392216266604525E-2</v>
      </c>
      <c r="N272" s="187" t="str">
        <f t="shared" si="34"/>
        <v/>
      </c>
    </row>
    <row r="273" spans="1:14" hidden="1" outlineLevel="1">
      <c r="A273" s="178"/>
      <c r="B273" s="188" t="s">
        <v>835</v>
      </c>
      <c r="C273" s="184">
        <f t="shared" si="28"/>
        <v>300</v>
      </c>
      <c r="E273" s="180">
        <v>8</v>
      </c>
      <c r="F273" s="181">
        <v>2</v>
      </c>
      <c r="G273" s="189">
        <f t="shared" si="29"/>
        <v>300</v>
      </c>
      <c r="H273" s="186">
        <f t="shared" si="30"/>
        <v>4.6609182008855748E-2</v>
      </c>
      <c r="I273" s="186">
        <f t="shared" si="31"/>
        <v>1.3697691938908293E-2</v>
      </c>
      <c r="J273" s="180">
        <v>8</v>
      </c>
      <c r="K273" s="181">
        <v>2</v>
      </c>
      <c r="L273" s="189">
        <f t="shared" si="32"/>
        <v>300</v>
      </c>
      <c r="M273" s="186">
        <f t="shared" si="33"/>
        <v>4.6609182008855748E-2</v>
      </c>
      <c r="N273" s="187">
        <f t="shared" si="34"/>
        <v>1.3697691938908293E-2</v>
      </c>
    </row>
    <row r="274" spans="1:14" hidden="1" outlineLevel="1">
      <c r="A274" s="178"/>
      <c r="B274" s="188" t="s">
        <v>833</v>
      </c>
      <c r="C274" s="184">
        <f t="shared" si="28"/>
        <v>0</v>
      </c>
      <c r="E274" s="180">
        <v>2</v>
      </c>
      <c r="F274" s="181">
        <v>2</v>
      </c>
      <c r="G274" s="189">
        <f t="shared" si="29"/>
        <v>0</v>
      </c>
      <c r="H274" s="186">
        <f t="shared" si="30"/>
        <v>1.1652295502213937E-2</v>
      </c>
      <c r="I274" s="186">
        <f t="shared" si="31"/>
        <v>1.3697691938908293E-2</v>
      </c>
      <c r="J274" s="180">
        <v>2</v>
      </c>
      <c r="K274" s="181">
        <v>2</v>
      </c>
      <c r="L274" s="189">
        <f t="shared" si="32"/>
        <v>0</v>
      </c>
      <c r="M274" s="186">
        <f t="shared" si="33"/>
        <v>1.1652295502213937E-2</v>
      </c>
      <c r="N274" s="187">
        <f t="shared" si="34"/>
        <v>1.3697691938908293E-2</v>
      </c>
    </row>
    <row r="275" spans="1:14" hidden="1" outlineLevel="1">
      <c r="A275" s="178"/>
      <c r="B275" s="188" t="s">
        <v>834</v>
      </c>
      <c r="C275" s="184">
        <f t="shared" si="28"/>
        <v>-100</v>
      </c>
      <c r="E275" s="180">
        <v>0</v>
      </c>
      <c r="F275" s="181">
        <v>6</v>
      </c>
      <c r="G275" s="189">
        <f t="shared" si="29"/>
        <v>-100</v>
      </c>
      <c r="H275" s="186" t="str">
        <f t="shared" si="30"/>
        <v/>
      </c>
      <c r="I275" s="186">
        <f t="shared" si="31"/>
        <v>4.1093075816724882E-2</v>
      </c>
      <c r="J275" s="180">
        <v>0</v>
      </c>
      <c r="K275" s="181">
        <v>6</v>
      </c>
      <c r="L275" s="189">
        <f t="shared" si="32"/>
        <v>-100</v>
      </c>
      <c r="M275" s="186" t="str">
        <f t="shared" si="33"/>
        <v/>
      </c>
      <c r="N275" s="187">
        <f t="shared" si="34"/>
        <v>4.1093075816724882E-2</v>
      </c>
    </row>
    <row r="276" spans="1:14" collapsed="1">
      <c r="A276" s="178" t="s">
        <v>1160</v>
      </c>
      <c r="B276" s="177" t="s">
        <v>271</v>
      </c>
      <c r="C276" s="184">
        <f t="shared" si="28"/>
        <v>20</v>
      </c>
      <c r="E276" s="180">
        <v>84</v>
      </c>
      <c r="F276" s="181">
        <v>70</v>
      </c>
      <c r="G276" s="189">
        <f t="shared" si="29"/>
        <v>20</v>
      </c>
      <c r="H276" s="186">
        <f t="shared" si="30"/>
        <v>0.48939641109298526</v>
      </c>
      <c r="I276" s="186">
        <f t="shared" si="31"/>
        <v>0.47941921786179026</v>
      </c>
      <c r="J276" s="180">
        <v>84</v>
      </c>
      <c r="K276" s="181">
        <v>70</v>
      </c>
      <c r="L276" s="189">
        <f t="shared" si="32"/>
        <v>20</v>
      </c>
      <c r="M276" s="186">
        <f t="shared" si="33"/>
        <v>0.48939641109298526</v>
      </c>
      <c r="N276" s="187">
        <f t="shared" si="34"/>
        <v>0.47941921786179026</v>
      </c>
    </row>
    <row r="277" spans="1:14" hidden="1" outlineLevel="1">
      <c r="A277" s="178"/>
      <c r="B277" s="188" t="s">
        <v>859</v>
      </c>
      <c r="C277" s="184">
        <f t="shared" si="28"/>
        <v>42.857142857142854</v>
      </c>
      <c r="E277" s="180">
        <v>40</v>
      </c>
      <c r="F277" s="181">
        <v>28</v>
      </c>
      <c r="G277" s="189">
        <f t="shared" si="29"/>
        <v>42.857142857142854</v>
      </c>
      <c r="H277" s="186">
        <f t="shared" si="30"/>
        <v>0.23304591004427874</v>
      </c>
      <c r="I277" s="186">
        <f t="shared" si="31"/>
        <v>0.19176768714471609</v>
      </c>
      <c r="J277" s="180">
        <v>40</v>
      </c>
      <c r="K277" s="181">
        <v>28</v>
      </c>
      <c r="L277" s="189">
        <f t="shared" si="32"/>
        <v>42.857142857142854</v>
      </c>
      <c r="M277" s="186">
        <f t="shared" si="33"/>
        <v>0.23304591004427874</v>
      </c>
      <c r="N277" s="187">
        <f t="shared" si="34"/>
        <v>0.19176768714471609</v>
      </c>
    </row>
    <row r="278" spans="1:14" hidden="1" outlineLevel="1">
      <c r="A278" s="178"/>
      <c r="B278" s="188" t="s">
        <v>862</v>
      </c>
      <c r="C278" s="184">
        <f t="shared" si="28"/>
        <v>14.285714285714285</v>
      </c>
      <c r="E278" s="180">
        <v>16</v>
      </c>
      <c r="F278" s="181">
        <v>14</v>
      </c>
      <c r="G278" s="189">
        <f t="shared" si="29"/>
        <v>14.285714285714285</v>
      </c>
      <c r="H278" s="186">
        <f t="shared" si="30"/>
        <v>9.3218364017711497E-2</v>
      </c>
      <c r="I278" s="186">
        <f t="shared" si="31"/>
        <v>9.5883843572358046E-2</v>
      </c>
      <c r="J278" s="180">
        <v>16</v>
      </c>
      <c r="K278" s="181">
        <v>14</v>
      </c>
      <c r="L278" s="189">
        <f t="shared" si="32"/>
        <v>14.285714285714285</v>
      </c>
      <c r="M278" s="186">
        <f t="shared" si="33"/>
        <v>9.3218364017711497E-2</v>
      </c>
      <c r="N278" s="187">
        <f t="shared" si="34"/>
        <v>9.5883843572358046E-2</v>
      </c>
    </row>
    <row r="279" spans="1:14" hidden="1" outlineLevel="1">
      <c r="A279" s="178"/>
      <c r="B279" s="188" t="s">
        <v>860</v>
      </c>
      <c r="C279" s="184">
        <f t="shared" si="28"/>
        <v>-11.76470588235294</v>
      </c>
      <c r="E279" s="180">
        <v>15</v>
      </c>
      <c r="F279" s="181">
        <v>17</v>
      </c>
      <c r="G279" s="189">
        <f t="shared" si="29"/>
        <v>-11.76470588235294</v>
      </c>
      <c r="H279" s="186">
        <f t="shared" si="30"/>
        <v>8.7392216266604525E-2</v>
      </c>
      <c r="I279" s="186">
        <f t="shared" si="31"/>
        <v>0.1164303814807205</v>
      </c>
      <c r="J279" s="180">
        <v>15</v>
      </c>
      <c r="K279" s="181">
        <v>17</v>
      </c>
      <c r="L279" s="189">
        <f t="shared" si="32"/>
        <v>-11.76470588235294</v>
      </c>
      <c r="M279" s="186">
        <f t="shared" si="33"/>
        <v>8.7392216266604525E-2</v>
      </c>
      <c r="N279" s="187">
        <f t="shared" si="34"/>
        <v>0.1164303814807205</v>
      </c>
    </row>
    <row r="280" spans="1:14" hidden="1" outlineLevel="1">
      <c r="A280" s="178"/>
      <c r="B280" s="188" t="s">
        <v>861</v>
      </c>
      <c r="C280" s="184">
        <f t="shared" si="28"/>
        <v>30</v>
      </c>
      <c r="E280" s="180">
        <v>13</v>
      </c>
      <c r="F280" s="181">
        <v>10</v>
      </c>
      <c r="G280" s="189">
        <f t="shared" si="29"/>
        <v>30</v>
      </c>
      <c r="H280" s="186">
        <f t="shared" si="30"/>
        <v>7.5739920764390581E-2</v>
      </c>
      <c r="I280" s="186">
        <f t="shared" si="31"/>
        <v>6.8488459694541468E-2</v>
      </c>
      <c r="J280" s="180">
        <v>13</v>
      </c>
      <c r="K280" s="181">
        <v>10</v>
      </c>
      <c r="L280" s="189">
        <f t="shared" si="32"/>
        <v>30</v>
      </c>
      <c r="M280" s="186">
        <f t="shared" si="33"/>
        <v>7.5739920764390581E-2</v>
      </c>
      <c r="N280" s="187">
        <f t="shared" si="34"/>
        <v>6.8488459694541468E-2</v>
      </c>
    </row>
    <row r="281" spans="1:14" hidden="1" outlineLevel="1">
      <c r="A281" s="178"/>
      <c r="B281" s="188" t="s">
        <v>863</v>
      </c>
      <c r="C281" s="184">
        <f t="shared" si="28"/>
        <v>-100</v>
      </c>
      <c r="E281" s="180">
        <v>0</v>
      </c>
      <c r="F281" s="181">
        <v>1</v>
      </c>
      <c r="G281" s="189">
        <f t="shared" si="29"/>
        <v>-100</v>
      </c>
      <c r="H281" s="186" t="str">
        <f t="shared" si="30"/>
        <v/>
      </c>
      <c r="I281" s="186">
        <f t="shared" si="31"/>
        <v>6.8488459694541464E-3</v>
      </c>
      <c r="J281" s="180">
        <v>0</v>
      </c>
      <c r="K281" s="181">
        <v>1</v>
      </c>
      <c r="L281" s="189">
        <f t="shared" si="32"/>
        <v>-100</v>
      </c>
      <c r="M281" s="186" t="str">
        <f t="shared" si="33"/>
        <v/>
      </c>
      <c r="N281" s="187">
        <f t="shared" si="34"/>
        <v>6.8488459694541464E-3</v>
      </c>
    </row>
    <row r="282" spans="1:14" collapsed="1">
      <c r="A282" s="178" t="s">
        <v>1161</v>
      </c>
      <c r="B282" s="177" t="s">
        <v>261</v>
      </c>
      <c r="C282" s="184">
        <f t="shared" si="28"/>
        <v>-32.075471698113205</v>
      </c>
      <c r="E282" s="180">
        <v>72</v>
      </c>
      <c r="F282" s="181">
        <v>106</v>
      </c>
      <c r="G282" s="189">
        <f t="shared" si="29"/>
        <v>-32.075471698113205</v>
      </c>
      <c r="H282" s="186">
        <f t="shared" si="30"/>
        <v>0.41948263807970165</v>
      </c>
      <c r="I282" s="186">
        <f t="shared" si="31"/>
        <v>0.72597767276213965</v>
      </c>
      <c r="J282" s="180">
        <v>72</v>
      </c>
      <c r="K282" s="181">
        <v>106</v>
      </c>
      <c r="L282" s="189">
        <f t="shared" si="32"/>
        <v>-32.075471698113205</v>
      </c>
      <c r="M282" s="186">
        <f t="shared" si="33"/>
        <v>0.41948263807970165</v>
      </c>
      <c r="N282" s="187">
        <f t="shared" si="34"/>
        <v>0.72597767276213965</v>
      </c>
    </row>
    <row r="283" spans="1:14" hidden="1" outlineLevel="1">
      <c r="A283" s="178"/>
      <c r="B283" s="188" t="s">
        <v>850</v>
      </c>
      <c r="C283" s="184">
        <f t="shared" si="28"/>
        <v>-47.058823529411761</v>
      </c>
      <c r="E283" s="180">
        <v>36</v>
      </c>
      <c r="F283" s="181">
        <v>68</v>
      </c>
      <c r="G283" s="189">
        <f t="shared" si="29"/>
        <v>-47.058823529411761</v>
      </c>
      <c r="H283" s="186">
        <f t="shared" si="30"/>
        <v>0.20974131903985083</v>
      </c>
      <c r="I283" s="186">
        <f t="shared" si="31"/>
        <v>0.46572152592288202</v>
      </c>
      <c r="J283" s="180">
        <v>36</v>
      </c>
      <c r="K283" s="181">
        <v>68</v>
      </c>
      <c r="L283" s="189">
        <f t="shared" si="32"/>
        <v>-47.058823529411761</v>
      </c>
      <c r="M283" s="186">
        <f t="shared" si="33"/>
        <v>0.20974131903985083</v>
      </c>
      <c r="N283" s="187">
        <f t="shared" si="34"/>
        <v>0.46572152592288202</v>
      </c>
    </row>
    <row r="284" spans="1:14" hidden="1" outlineLevel="1">
      <c r="A284" s="178"/>
      <c r="B284" s="188" t="s">
        <v>851</v>
      </c>
      <c r="C284" s="184">
        <f t="shared" si="28"/>
        <v>-29.72972972972973</v>
      </c>
      <c r="E284" s="180">
        <v>26</v>
      </c>
      <c r="F284" s="181">
        <v>37</v>
      </c>
      <c r="G284" s="189">
        <f t="shared" si="29"/>
        <v>-29.72972972972973</v>
      </c>
      <c r="H284" s="186">
        <f t="shared" si="30"/>
        <v>0.15147984152878116</v>
      </c>
      <c r="I284" s="186">
        <f t="shared" si="31"/>
        <v>0.25340730086980345</v>
      </c>
      <c r="J284" s="180">
        <v>26</v>
      </c>
      <c r="K284" s="181">
        <v>37</v>
      </c>
      <c r="L284" s="189">
        <f t="shared" si="32"/>
        <v>-29.72972972972973</v>
      </c>
      <c r="M284" s="186">
        <f t="shared" si="33"/>
        <v>0.15147984152878116</v>
      </c>
      <c r="N284" s="187">
        <f t="shared" si="34"/>
        <v>0.25340730086980345</v>
      </c>
    </row>
    <row r="285" spans="1:14" hidden="1" outlineLevel="1">
      <c r="A285" s="178"/>
      <c r="B285" s="188" t="s">
        <v>852</v>
      </c>
      <c r="C285" s="184">
        <f t="shared" si="28"/>
        <v>900</v>
      </c>
      <c r="E285" s="180">
        <v>10</v>
      </c>
      <c r="F285" s="181">
        <v>1</v>
      </c>
      <c r="G285" s="189">
        <f t="shared" si="29"/>
        <v>900</v>
      </c>
      <c r="H285" s="186">
        <f t="shared" si="30"/>
        <v>5.8261477511069686E-2</v>
      </c>
      <c r="I285" s="186">
        <f t="shared" si="31"/>
        <v>6.8488459694541464E-3</v>
      </c>
      <c r="J285" s="180">
        <v>10</v>
      </c>
      <c r="K285" s="181">
        <v>1</v>
      </c>
      <c r="L285" s="189">
        <f t="shared" si="32"/>
        <v>900</v>
      </c>
      <c r="M285" s="186">
        <f t="shared" si="33"/>
        <v>5.8261477511069686E-2</v>
      </c>
      <c r="N285" s="187">
        <f t="shared" si="34"/>
        <v>6.8488459694541464E-3</v>
      </c>
    </row>
    <row r="286" spans="1:14" collapsed="1">
      <c r="A286" s="178" t="s">
        <v>1162</v>
      </c>
      <c r="B286" s="177" t="s">
        <v>250</v>
      </c>
      <c r="C286" s="184">
        <f t="shared" si="28"/>
        <v>168</v>
      </c>
      <c r="E286" s="180">
        <v>67</v>
      </c>
      <c r="F286" s="181">
        <v>25</v>
      </c>
      <c r="G286" s="189">
        <f t="shared" si="29"/>
        <v>168</v>
      </c>
      <c r="H286" s="186">
        <f t="shared" si="30"/>
        <v>0.39035189932416686</v>
      </c>
      <c r="I286" s="186">
        <f t="shared" si="31"/>
        <v>0.17122114923635368</v>
      </c>
      <c r="J286" s="180">
        <v>67</v>
      </c>
      <c r="K286" s="181">
        <v>25</v>
      </c>
      <c r="L286" s="189">
        <f t="shared" si="32"/>
        <v>168</v>
      </c>
      <c r="M286" s="186">
        <f t="shared" si="33"/>
        <v>0.39035189932416686</v>
      </c>
      <c r="N286" s="187">
        <f t="shared" si="34"/>
        <v>0.17122114923635368</v>
      </c>
    </row>
    <row r="287" spans="1:14" hidden="1" outlineLevel="1">
      <c r="A287" s="178"/>
      <c r="B287" s="188" t="s">
        <v>873</v>
      </c>
      <c r="C287" s="184">
        <f t="shared" si="28"/>
        <v>187.5</v>
      </c>
      <c r="E287" s="180">
        <v>23</v>
      </c>
      <c r="F287" s="181">
        <v>8</v>
      </c>
      <c r="G287" s="189">
        <f t="shared" si="29"/>
        <v>187.5</v>
      </c>
      <c r="H287" s="186">
        <f t="shared" si="30"/>
        <v>0.13400139827546026</v>
      </c>
      <c r="I287" s="186">
        <f t="shared" si="31"/>
        <v>5.4790767755633171E-2</v>
      </c>
      <c r="J287" s="180">
        <v>23</v>
      </c>
      <c r="K287" s="181">
        <v>8</v>
      </c>
      <c r="L287" s="189">
        <f t="shared" si="32"/>
        <v>187.5</v>
      </c>
      <c r="M287" s="186">
        <f t="shared" si="33"/>
        <v>0.13400139827546026</v>
      </c>
      <c r="N287" s="187">
        <f t="shared" si="34"/>
        <v>5.4790767755633171E-2</v>
      </c>
    </row>
    <row r="288" spans="1:14" hidden="1" outlineLevel="1">
      <c r="A288" s="178"/>
      <c r="B288" s="188" t="s">
        <v>871</v>
      </c>
      <c r="C288" s="184">
        <f t="shared" si="28"/>
        <v>1600</v>
      </c>
      <c r="E288" s="180">
        <v>17</v>
      </c>
      <c r="F288" s="181">
        <v>1</v>
      </c>
      <c r="G288" s="189">
        <f t="shared" si="29"/>
        <v>1600</v>
      </c>
      <c r="H288" s="186">
        <f t="shared" si="30"/>
        <v>9.9044511768818469E-2</v>
      </c>
      <c r="I288" s="186">
        <f t="shared" si="31"/>
        <v>6.8488459694541464E-3</v>
      </c>
      <c r="J288" s="180">
        <v>17</v>
      </c>
      <c r="K288" s="181">
        <v>1</v>
      </c>
      <c r="L288" s="189">
        <f t="shared" si="32"/>
        <v>1600</v>
      </c>
      <c r="M288" s="186">
        <f t="shared" si="33"/>
        <v>9.9044511768818469E-2</v>
      </c>
      <c r="N288" s="187">
        <f t="shared" si="34"/>
        <v>6.8488459694541464E-3</v>
      </c>
    </row>
    <row r="289" spans="1:14" hidden="1" outlineLevel="1">
      <c r="A289" s="178"/>
      <c r="B289" s="188" t="s">
        <v>875</v>
      </c>
      <c r="C289" s="184">
        <f t="shared" si="28"/>
        <v>225</v>
      </c>
      <c r="E289" s="180">
        <v>13</v>
      </c>
      <c r="F289" s="181">
        <v>4</v>
      </c>
      <c r="G289" s="189">
        <f t="shared" si="29"/>
        <v>225</v>
      </c>
      <c r="H289" s="186">
        <f t="shared" si="30"/>
        <v>7.5739920764390581E-2</v>
      </c>
      <c r="I289" s="186">
        <f t="shared" si="31"/>
        <v>2.7395383877816586E-2</v>
      </c>
      <c r="J289" s="180">
        <v>13</v>
      </c>
      <c r="K289" s="181">
        <v>4</v>
      </c>
      <c r="L289" s="189">
        <f t="shared" si="32"/>
        <v>225</v>
      </c>
      <c r="M289" s="186">
        <f t="shared" si="33"/>
        <v>7.5739920764390581E-2</v>
      </c>
      <c r="N289" s="187">
        <f t="shared" si="34"/>
        <v>2.7395383877816586E-2</v>
      </c>
    </row>
    <row r="290" spans="1:14" hidden="1" outlineLevel="1">
      <c r="A290" s="178"/>
      <c r="B290" s="188" t="s">
        <v>872</v>
      </c>
      <c r="C290" s="184">
        <f t="shared" si="28"/>
        <v>-20</v>
      </c>
      <c r="E290" s="180">
        <v>8</v>
      </c>
      <c r="F290" s="181">
        <v>10</v>
      </c>
      <c r="G290" s="189">
        <f t="shared" si="29"/>
        <v>-20</v>
      </c>
      <c r="H290" s="186">
        <f t="shared" si="30"/>
        <v>4.6609182008855748E-2</v>
      </c>
      <c r="I290" s="186">
        <f t="shared" si="31"/>
        <v>6.8488459694541468E-2</v>
      </c>
      <c r="J290" s="180">
        <v>8</v>
      </c>
      <c r="K290" s="181">
        <v>10</v>
      </c>
      <c r="L290" s="189">
        <f t="shared" si="32"/>
        <v>-20</v>
      </c>
      <c r="M290" s="186">
        <f t="shared" si="33"/>
        <v>4.6609182008855748E-2</v>
      </c>
      <c r="N290" s="187">
        <f t="shared" si="34"/>
        <v>6.8488459694541468E-2</v>
      </c>
    </row>
    <row r="291" spans="1:14" hidden="1" outlineLevel="1">
      <c r="A291" s="178"/>
      <c r="B291" s="188" t="s">
        <v>1063</v>
      </c>
      <c r="C291" s="184" t="str">
        <f t="shared" si="28"/>
        <v/>
      </c>
      <c r="E291" s="180">
        <v>4</v>
      </c>
      <c r="F291" s="181">
        <v>0</v>
      </c>
      <c r="G291" s="189" t="str">
        <f t="shared" si="29"/>
        <v/>
      </c>
      <c r="H291" s="186">
        <f t="shared" si="30"/>
        <v>2.3304591004427874E-2</v>
      </c>
      <c r="I291" s="186" t="str">
        <f t="shared" si="31"/>
        <v/>
      </c>
      <c r="J291" s="180">
        <v>4</v>
      </c>
      <c r="K291" s="181">
        <v>0</v>
      </c>
      <c r="L291" s="189" t="str">
        <f t="shared" si="32"/>
        <v/>
      </c>
      <c r="M291" s="186">
        <f t="shared" si="33"/>
        <v>2.3304591004427874E-2</v>
      </c>
      <c r="N291" s="187" t="str">
        <f t="shared" si="34"/>
        <v/>
      </c>
    </row>
    <row r="292" spans="1:14" hidden="1" outlineLevel="1">
      <c r="A292" s="178"/>
      <c r="B292" s="188" t="s">
        <v>874</v>
      </c>
      <c r="C292" s="184">
        <f t="shared" si="28"/>
        <v>-50</v>
      </c>
      <c r="E292" s="180">
        <v>1</v>
      </c>
      <c r="F292" s="181">
        <v>2</v>
      </c>
      <c r="G292" s="189">
        <f t="shared" si="29"/>
        <v>-50</v>
      </c>
      <c r="H292" s="186">
        <f t="shared" si="30"/>
        <v>5.8261477511069686E-3</v>
      </c>
      <c r="I292" s="186">
        <f t="shared" si="31"/>
        <v>1.3697691938908293E-2</v>
      </c>
      <c r="J292" s="180">
        <v>1</v>
      </c>
      <c r="K292" s="181">
        <v>2</v>
      </c>
      <c r="L292" s="189">
        <f t="shared" si="32"/>
        <v>-50</v>
      </c>
      <c r="M292" s="186">
        <f t="shared" si="33"/>
        <v>5.8261477511069686E-3</v>
      </c>
      <c r="N292" s="187">
        <f t="shared" si="34"/>
        <v>1.3697691938908293E-2</v>
      </c>
    </row>
    <row r="293" spans="1:14" hidden="1" outlineLevel="1">
      <c r="A293" s="178"/>
      <c r="B293" s="188" t="s">
        <v>1078</v>
      </c>
      <c r="C293" s="184" t="str">
        <f t="shared" si="28"/>
        <v/>
      </c>
      <c r="E293" s="180">
        <v>1</v>
      </c>
      <c r="F293" s="181">
        <v>0</v>
      </c>
      <c r="G293" s="189" t="str">
        <f t="shared" si="29"/>
        <v/>
      </c>
      <c r="H293" s="186">
        <f t="shared" si="30"/>
        <v>5.8261477511069686E-3</v>
      </c>
      <c r="I293" s="186" t="str">
        <f t="shared" si="31"/>
        <v/>
      </c>
      <c r="J293" s="180">
        <v>1</v>
      </c>
      <c r="K293" s="181">
        <v>0</v>
      </c>
      <c r="L293" s="189" t="str">
        <f t="shared" si="32"/>
        <v/>
      </c>
      <c r="M293" s="186">
        <f t="shared" si="33"/>
        <v>5.8261477511069686E-3</v>
      </c>
      <c r="N293" s="187" t="str">
        <f t="shared" si="34"/>
        <v/>
      </c>
    </row>
    <row r="294" spans="1:14" collapsed="1">
      <c r="A294" s="178" t="s">
        <v>1163</v>
      </c>
      <c r="B294" s="177" t="s">
        <v>469</v>
      </c>
      <c r="C294" s="184">
        <f t="shared" si="28"/>
        <v>250</v>
      </c>
      <c r="E294" s="180">
        <v>63</v>
      </c>
      <c r="F294" s="181">
        <v>18</v>
      </c>
      <c r="G294" s="189">
        <f t="shared" si="29"/>
        <v>250</v>
      </c>
      <c r="H294" s="186">
        <f t="shared" si="30"/>
        <v>0.36704730831973897</v>
      </c>
      <c r="I294" s="186">
        <f t="shared" si="31"/>
        <v>0.12327922745017465</v>
      </c>
      <c r="J294" s="180">
        <v>63</v>
      </c>
      <c r="K294" s="181">
        <v>18</v>
      </c>
      <c r="L294" s="189">
        <f t="shared" si="32"/>
        <v>250</v>
      </c>
      <c r="M294" s="186">
        <f t="shared" si="33"/>
        <v>0.36704730831973897</v>
      </c>
      <c r="N294" s="187">
        <f t="shared" si="34"/>
        <v>0.12327922745017465</v>
      </c>
    </row>
    <row r="295" spans="1:14" hidden="1" outlineLevel="1">
      <c r="A295" s="178"/>
      <c r="B295" s="188" t="s">
        <v>952</v>
      </c>
      <c r="C295" s="184">
        <f t="shared" si="28"/>
        <v>322.22222222222223</v>
      </c>
      <c r="E295" s="180">
        <v>38</v>
      </c>
      <c r="F295" s="181">
        <v>9</v>
      </c>
      <c r="G295" s="189">
        <f t="shared" si="29"/>
        <v>322.22222222222223</v>
      </c>
      <c r="H295" s="186">
        <f t="shared" si="30"/>
        <v>0.2213936145420648</v>
      </c>
      <c r="I295" s="186">
        <f t="shared" si="31"/>
        <v>6.1639613725087326E-2</v>
      </c>
      <c r="J295" s="180">
        <v>38</v>
      </c>
      <c r="K295" s="181">
        <v>9</v>
      </c>
      <c r="L295" s="189">
        <f t="shared" si="32"/>
        <v>322.22222222222223</v>
      </c>
      <c r="M295" s="186">
        <f t="shared" si="33"/>
        <v>0.2213936145420648</v>
      </c>
      <c r="N295" s="187">
        <f t="shared" si="34"/>
        <v>6.1639613725087326E-2</v>
      </c>
    </row>
    <row r="296" spans="1:14" hidden="1" outlineLevel="1">
      <c r="A296" s="178"/>
      <c r="B296" s="188" t="s">
        <v>1106</v>
      </c>
      <c r="C296" s="184" t="str">
        <f t="shared" si="28"/>
        <v/>
      </c>
      <c r="E296" s="180">
        <v>11</v>
      </c>
      <c r="F296" s="181">
        <v>0</v>
      </c>
      <c r="G296" s="189" t="str">
        <f t="shared" si="29"/>
        <v/>
      </c>
      <c r="H296" s="186">
        <f t="shared" si="30"/>
        <v>6.4087625262176651E-2</v>
      </c>
      <c r="I296" s="186" t="str">
        <f t="shared" si="31"/>
        <v/>
      </c>
      <c r="J296" s="180">
        <v>11</v>
      </c>
      <c r="K296" s="181">
        <v>0</v>
      </c>
      <c r="L296" s="189" t="str">
        <f t="shared" si="32"/>
        <v/>
      </c>
      <c r="M296" s="186">
        <f t="shared" si="33"/>
        <v>6.4087625262176651E-2</v>
      </c>
      <c r="N296" s="187" t="str">
        <f t="shared" si="34"/>
        <v/>
      </c>
    </row>
    <row r="297" spans="1:14" hidden="1" outlineLevel="1">
      <c r="A297" s="178"/>
      <c r="B297" s="188" t="s">
        <v>1126</v>
      </c>
      <c r="C297" s="184">
        <f t="shared" si="28"/>
        <v>600</v>
      </c>
      <c r="E297" s="180">
        <v>7</v>
      </c>
      <c r="F297" s="181">
        <v>1</v>
      </c>
      <c r="G297" s="189">
        <f t="shared" si="29"/>
        <v>600</v>
      </c>
      <c r="H297" s="186">
        <f t="shared" si="30"/>
        <v>4.0783034257748776E-2</v>
      </c>
      <c r="I297" s="186">
        <f t="shared" si="31"/>
        <v>6.8488459694541464E-3</v>
      </c>
      <c r="J297" s="180">
        <v>7</v>
      </c>
      <c r="K297" s="181">
        <v>1</v>
      </c>
      <c r="L297" s="189">
        <f t="shared" si="32"/>
        <v>600</v>
      </c>
      <c r="M297" s="186">
        <f t="shared" si="33"/>
        <v>4.0783034257748776E-2</v>
      </c>
      <c r="N297" s="187">
        <f t="shared" si="34"/>
        <v>6.8488459694541464E-3</v>
      </c>
    </row>
    <row r="298" spans="1:14" hidden="1" outlineLevel="1">
      <c r="A298" s="178"/>
      <c r="B298" s="188" t="s">
        <v>941</v>
      </c>
      <c r="C298" s="184" t="str">
        <f t="shared" si="28"/>
        <v/>
      </c>
      <c r="E298" s="180">
        <v>5</v>
      </c>
      <c r="F298" s="181">
        <v>0</v>
      </c>
      <c r="G298" s="189" t="str">
        <f t="shared" si="29"/>
        <v/>
      </c>
      <c r="H298" s="186">
        <f t="shared" si="30"/>
        <v>2.9130738755534843E-2</v>
      </c>
      <c r="I298" s="186" t="str">
        <f t="shared" si="31"/>
        <v/>
      </c>
      <c r="J298" s="180">
        <v>5</v>
      </c>
      <c r="K298" s="181">
        <v>0</v>
      </c>
      <c r="L298" s="189" t="str">
        <f t="shared" si="32"/>
        <v/>
      </c>
      <c r="M298" s="186">
        <f t="shared" si="33"/>
        <v>2.9130738755534843E-2</v>
      </c>
      <c r="N298" s="187" t="str">
        <f t="shared" si="34"/>
        <v/>
      </c>
    </row>
    <row r="299" spans="1:14" hidden="1" outlineLevel="1">
      <c r="A299" s="178"/>
      <c r="B299" s="188" t="s">
        <v>991</v>
      </c>
      <c r="C299" s="184">
        <f t="shared" si="28"/>
        <v>-75</v>
      </c>
      <c r="E299" s="180">
        <v>2</v>
      </c>
      <c r="F299" s="181">
        <v>8</v>
      </c>
      <c r="G299" s="189">
        <f t="shared" si="29"/>
        <v>-75</v>
      </c>
      <c r="H299" s="186">
        <f t="shared" si="30"/>
        <v>1.1652295502213937E-2</v>
      </c>
      <c r="I299" s="186">
        <f t="shared" si="31"/>
        <v>5.4790767755633171E-2</v>
      </c>
      <c r="J299" s="180">
        <v>2</v>
      </c>
      <c r="K299" s="181">
        <v>8</v>
      </c>
      <c r="L299" s="189">
        <f t="shared" si="32"/>
        <v>-75</v>
      </c>
      <c r="M299" s="186">
        <f t="shared" si="33"/>
        <v>1.1652295502213937E-2</v>
      </c>
      <c r="N299" s="187">
        <f t="shared" si="34"/>
        <v>5.4790767755633171E-2</v>
      </c>
    </row>
    <row r="300" spans="1:14" collapsed="1">
      <c r="A300" s="178" t="s">
        <v>1164</v>
      </c>
      <c r="B300" s="177" t="s">
        <v>262</v>
      </c>
      <c r="C300" s="184">
        <f t="shared" si="28"/>
        <v>34.883720930232556</v>
      </c>
      <c r="E300" s="180">
        <v>58</v>
      </c>
      <c r="F300" s="181">
        <v>43</v>
      </c>
      <c r="G300" s="189">
        <f t="shared" si="29"/>
        <v>34.883720930232556</v>
      </c>
      <c r="H300" s="186">
        <f t="shared" si="30"/>
        <v>0.33791656956420413</v>
      </c>
      <c r="I300" s="186">
        <f t="shared" si="31"/>
        <v>0.29450037668652834</v>
      </c>
      <c r="J300" s="180">
        <v>58</v>
      </c>
      <c r="K300" s="181">
        <v>43</v>
      </c>
      <c r="L300" s="189">
        <f t="shared" si="32"/>
        <v>34.883720930232556</v>
      </c>
      <c r="M300" s="186">
        <f t="shared" si="33"/>
        <v>0.33791656956420413</v>
      </c>
      <c r="N300" s="187">
        <f t="shared" si="34"/>
        <v>0.29450037668652834</v>
      </c>
    </row>
    <row r="301" spans="1:14" hidden="1" outlineLevel="1">
      <c r="A301" s="178"/>
      <c r="B301" s="188" t="s">
        <v>1018</v>
      </c>
      <c r="C301" s="184" t="str">
        <f t="shared" si="28"/>
        <v/>
      </c>
      <c r="E301" s="180">
        <v>41</v>
      </c>
      <c r="F301" s="181">
        <v>0</v>
      </c>
      <c r="G301" s="189" t="str">
        <f t="shared" si="29"/>
        <v/>
      </c>
      <c r="H301" s="186">
        <f t="shared" si="30"/>
        <v>0.2388720577953857</v>
      </c>
      <c r="I301" s="186" t="str">
        <f t="shared" si="31"/>
        <v/>
      </c>
      <c r="J301" s="180">
        <v>41</v>
      </c>
      <c r="K301" s="181">
        <v>0</v>
      </c>
      <c r="L301" s="189" t="str">
        <f t="shared" si="32"/>
        <v/>
      </c>
      <c r="M301" s="186">
        <f t="shared" si="33"/>
        <v>0.2388720577953857</v>
      </c>
      <c r="N301" s="187" t="str">
        <f t="shared" si="34"/>
        <v/>
      </c>
    </row>
    <row r="302" spans="1:14" hidden="1" outlineLevel="1">
      <c r="A302" s="178"/>
      <c r="B302" s="188" t="s">
        <v>878</v>
      </c>
      <c r="C302" s="184">
        <f t="shared" si="28"/>
        <v>-15.384615384615385</v>
      </c>
      <c r="E302" s="180">
        <v>11</v>
      </c>
      <c r="F302" s="181">
        <v>13</v>
      </c>
      <c r="G302" s="189">
        <f t="shared" si="29"/>
        <v>-15.384615384615385</v>
      </c>
      <c r="H302" s="186">
        <f t="shared" si="30"/>
        <v>6.4087625262176651E-2</v>
      </c>
      <c r="I302" s="186">
        <f t="shared" si="31"/>
        <v>8.9034997602903912E-2</v>
      </c>
      <c r="J302" s="180">
        <v>11</v>
      </c>
      <c r="K302" s="181">
        <v>13</v>
      </c>
      <c r="L302" s="189">
        <f t="shared" si="32"/>
        <v>-15.384615384615385</v>
      </c>
      <c r="M302" s="186">
        <f t="shared" si="33"/>
        <v>6.4087625262176651E-2</v>
      </c>
      <c r="N302" s="187">
        <f t="shared" si="34"/>
        <v>8.9034997602903912E-2</v>
      </c>
    </row>
    <row r="303" spans="1:14" hidden="1" outlineLevel="1">
      <c r="A303" s="178"/>
      <c r="B303" s="188" t="s">
        <v>879</v>
      </c>
      <c r="C303" s="184">
        <f t="shared" si="28"/>
        <v>-80</v>
      </c>
      <c r="E303" s="180">
        <v>6</v>
      </c>
      <c r="F303" s="181">
        <v>30</v>
      </c>
      <c r="G303" s="189">
        <f t="shared" si="29"/>
        <v>-80</v>
      </c>
      <c r="H303" s="186">
        <f t="shared" si="30"/>
        <v>3.4956886506641811E-2</v>
      </c>
      <c r="I303" s="186">
        <f t="shared" si="31"/>
        <v>0.20546537908362442</v>
      </c>
      <c r="J303" s="180">
        <v>6</v>
      </c>
      <c r="K303" s="181">
        <v>30</v>
      </c>
      <c r="L303" s="189">
        <f t="shared" si="32"/>
        <v>-80</v>
      </c>
      <c r="M303" s="186">
        <f t="shared" si="33"/>
        <v>3.4956886506641811E-2</v>
      </c>
      <c r="N303" s="187">
        <f t="shared" si="34"/>
        <v>0.20546537908362442</v>
      </c>
    </row>
    <row r="304" spans="1:14" collapsed="1">
      <c r="A304" s="178" t="s">
        <v>1165</v>
      </c>
      <c r="B304" s="177" t="s">
        <v>853</v>
      </c>
      <c r="C304" s="184">
        <f t="shared" si="28"/>
        <v>-64.285714285714292</v>
      </c>
      <c r="E304" s="180">
        <v>45</v>
      </c>
      <c r="F304" s="181">
        <v>126</v>
      </c>
      <c r="G304" s="189">
        <f t="shared" si="29"/>
        <v>-64.285714285714292</v>
      </c>
      <c r="H304" s="186">
        <f t="shared" si="30"/>
        <v>0.26217664879981356</v>
      </c>
      <c r="I304" s="186">
        <f t="shared" si="31"/>
        <v>0.8629545921512225</v>
      </c>
      <c r="J304" s="180">
        <v>45</v>
      </c>
      <c r="K304" s="181">
        <v>126</v>
      </c>
      <c r="L304" s="189">
        <f t="shared" si="32"/>
        <v>-64.285714285714292</v>
      </c>
      <c r="M304" s="186">
        <f t="shared" si="33"/>
        <v>0.26217664879981356</v>
      </c>
      <c r="N304" s="187">
        <f t="shared" si="34"/>
        <v>0.8629545921512225</v>
      </c>
    </row>
    <row r="305" spans="1:14" hidden="1" outlineLevel="1">
      <c r="A305" s="178"/>
      <c r="B305" s="188" t="s">
        <v>854</v>
      </c>
      <c r="C305" s="184">
        <f t="shared" si="28"/>
        <v>-64.285714285714292</v>
      </c>
      <c r="E305" s="180">
        <v>45</v>
      </c>
      <c r="F305" s="181">
        <v>126</v>
      </c>
      <c r="G305" s="189">
        <f t="shared" si="29"/>
        <v>-64.285714285714292</v>
      </c>
      <c r="H305" s="186">
        <f t="shared" si="30"/>
        <v>0.26217664879981356</v>
      </c>
      <c r="I305" s="186">
        <f t="shared" si="31"/>
        <v>0.8629545921512225</v>
      </c>
      <c r="J305" s="180">
        <v>45</v>
      </c>
      <c r="K305" s="181">
        <v>126</v>
      </c>
      <c r="L305" s="189">
        <f t="shared" si="32"/>
        <v>-64.285714285714292</v>
      </c>
      <c r="M305" s="186">
        <f t="shared" si="33"/>
        <v>0.26217664879981356</v>
      </c>
      <c r="N305" s="187">
        <f t="shared" si="34"/>
        <v>0.8629545921512225</v>
      </c>
    </row>
    <row r="306" spans="1:14" collapsed="1">
      <c r="A306" s="178" t="s">
        <v>1166</v>
      </c>
      <c r="B306" s="177" t="s">
        <v>886</v>
      </c>
      <c r="C306" s="184">
        <f t="shared" si="28"/>
        <v>1950</v>
      </c>
      <c r="E306" s="180">
        <v>41</v>
      </c>
      <c r="F306" s="181">
        <v>2</v>
      </c>
      <c r="G306" s="189">
        <f t="shared" si="29"/>
        <v>1950</v>
      </c>
      <c r="H306" s="186">
        <f t="shared" si="30"/>
        <v>0.2388720577953857</v>
      </c>
      <c r="I306" s="186">
        <f t="shared" si="31"/>
        <v>1.3697691938908293E-2</v>
      </c>
      <c r="J306" s="180">
        <v>41</v>
      </c>
      <c r="K306" s="181">
        <v>2</v>
      </c>
      <c r="L306" s="189">
        <f t="shared" si="32"/>
        <v>1950</v>
      </c>
      <c r="M306" s="186">
        <f t="shared" si="33"/>
        <v>0.2388720577953857</v>
      </c>
      <c r="N306" s="187">
        <f t="shared" si="34"/>
        <v>1.3697691938908293E-2</v>
      </c>
    </row>
    <row r="307" spans="1:14" hidden="1" outlineLevel="1">
      <c r="A307" s="178"/>
      <c r="B307" s="188" t="s">
        <v>887</v>
      </c>
      <c r="C307" s="184">
        <f t="shared" si="28"/>
        <v>1950</v>
      </c>
      <c r="E307" s="180">
        <v>41</v>
      </c>
      <c r="F307" s="181">
        <v>2</v>
      </c>
      <c r="G307" s="189">
        <f t="shared" si="29"/>
        <v>1950</v>
      </c>
      <c r="H307" s="186">
        <f t="shared" si="30"/>
        <v>0.2388720577953857</v>
      </c>
      <c r="I307" s="186">
        <f t="shared" si="31"/>
        <v>1.3697691938908293E-2</v>
      </c>
      <c r="J307" s="180">
        <v>41</v>
      </c>
      <c r="K307" s="181">
        <v>2</v>
      </c>
      <c r="L307" s="189">
        <f t="shared" si="32"/>
        <v>1950</v>
      </c>
      <c r="M307" s="186">
        <f t="shared" si="33"/>
        <v>0.2388720577953857</v>
      </c>
      <c r="N307" s="187">
        <f t="shared" si="34"/>
        <v>1.3697691938908293E-2</v>
      </c>
    </row>
    <row r="308" spans="1:14" collapsed="1">
      <c r="A308" s="178" t="s">
        <v>1167</v>
      </c>
      <c r="B308" s="177" t="s">
        <v>1025</v>
      </c>
      <c r="C308" s="184" t="str">
        <f t="shared" si="28"/>
        <v/>
      </c>
      <c r="E308" s="180">
        <v>36</v>
      </c>
      <c r="F308" s="181">
        <v>0</v>
      </c>
      <c r="G308" s="189" t="str">
        <f t="shared" si="29"/>
        <v/>
      </c>
      <c r="H308" s="186">
        <f t="shared" si="30"/>
        <v>0.20974131903985083</v>
      </c>
      <c r="I308" s="186" t="str">
        <f t="shared" si="31"/>
        <v/>
      </c>
      <c r="J308" s="180">
        <v>36</v>
      </c>
      <c r="K308" s="181">
        <v>0</v>
      </c>
      <c r="L308" s="189" t="str">
        <f t="shared" si="32"/>
        <v/>
      </c>
      <c r="M308" s="186">
        <f t="shared" si="33"/>
        <v>0.20974131903985083</v>
      </c>
      <c r="N308" s="187" t="str">
        <f t="shared" si="34"/>
        <v/>
      </c>
    </row>
    <row r="309" spans="1:14" hidden="1" outlineLevel="1">
      <c r="A309" s="178"/>
      <c r="B309" s="188" t="s">
        <v>1086</v>
      </c>
      <c r="C309" s="184" t="str">
        <f t="shared" si="28"/>
        <v/>
      </c>
      <c r="E309" s="180">
        <v>36</v>
      </c>
      <c r="F309" s="181">
        <v>0</v>
      </c>
      <c r="G309" s="189" t="str">
        <f t="shared" si="29"/>
        <v/>
      </c>
      <c r="H309" s="186">
        <f t="shared" si="30"/>
        <v>0.20974131903985083</v>
      </c>
      <c r="I309" s="186" t="str">
        <f t="shared" si="31"/>
        <v/>
      </c>
      <c r="J309" s="180">
        <v>36</v>
      </c>
      <c r="K309" s="181">
        <v>0</v>
      </c>
      <c r="L309" s="189" t="str">
        <f t="shared" si="32"/>
        <v/>
      </c>
      <c r="M309" s="186">
        <f t="shared" si="33"/>
        <v>0.20974131903985083</v>
      </c>
      <c r="N309" s="187" t="str">
        <f t="shared" si="34"/>
        <v/>
      </c>
    </row>
    <row r="310" spans="1:14" collapsed="1">
      <c r="A310" s="178" t="s">
        <v>1168</v>
      </c>
      <c r="B310" s="177" t="s">
        <v>966</v>
      </c>
      <c r="C310" s="184">
        <f t="shared" si="28"/>
        <v>190</v>
      </c>
      <c r="E310" s="180">
        <v>29</v>
      </c>
      <c r="F310" s="181">
        <v>10</v>
      </c>
      <c r="G310" s="189">
        <f t="shared" si="29"/>
        <v>190</v>
      </c>
      <c r="H310" s="186">
        <f t="shared" si="30"/>
        <v>0.16895828478210206</v>
      </c>
      <c r="I310" s="186">
        <f t="shared" si="31"/>
        <v>6.8488459694541468E-2</v>
      </c>
      <c r="J310" s="180">
        <v>29</v>
      </c>
      <c r="K310" s="181">
        <v>10</v>
      </c>
      <c r="L310" s="189">
        <f t="shared" si="32"/>
        <v>190</v>
      </c>
      <c r="M310" s="186">
        <f t="shared" si="33"/>
        <v>0.16895828478210206</v>
      </c>
      <c r="N310" s="187">
        <f t="shared" si="34"/>
        <v>6.8488459694541468E-2</v>
      </c>
    </row>
    <row r="311" spans="1:14" hidden="1" outlineLevel="1">
      <c r="A311" s="178"/>
      <c r="B311" s="188" t="s">
        <v>967</v>
      </c>
      <c r="C311" s="184">
        <f t="shared" si="28"/>
        <v>190</v>
      </c>
      <c r="E311" s="180">
        <v>29</v>
      </c>
      <c r="F311" s="181">
        <v>10</v>
      </c>
      <c r="G311" s="189">
        <f t="shared" si="29"/>
        <v>190</v>
      </c>
      <c r="H311" s="186">
        <f t="shared" si="30"/>
        <v>0.16895828478210206</v>
      </c>
      <c r="I311" s="186">
        <f t="shared" si="31"/>
        <v>6.8488459694541468E-2</v>
      </c>
      <c r="J311" s="180">
        <v>29</v>
      </c>
      <c r="K311" s="181">
        <v>10</v>
      </c>
      <c r="L311" s="189">
        <f t="shared" si="32"/>
        <v>190</v>
      </c>
      <c r="M311" s="186">
        <f t="shared" si="33"/>
        <v>0.16895828478210206</v>
      </c>
      <c r="N311" s="187">
        <f t="shared" si="34"/>
        <v>6.8488459694541468E-2</v>
      </c>
    </row>
    <row r="312" spans="1:14" collapsed="1">
      <c r="A312" s="178" t="s">
        <v>1169</v>
      </c>
      <c r="B312" s="177" t="s">
        <v>248</v>
      </c>
      <c r="C312" s="184">
        <f t="shared" si="28"/>
        <v>-30.555555555555557</v>
      </c>
      <c r="E312" s="180">
        <v>25</v>
      </c>
      <c r="F312" s="181">
        <v>36</v>
      </c>
      <c r="G312" s="189">
        <f t="shared" si="29"/>
        <v>-30.555555555555557</v>
      </c>
      <c r="H312" s="186">
        <f t="shared" si="30"/>
        <v>0.1456536937776742</v>
      </c>
      <c r="I312" s="186">
        <f t="shared" si="31"/>
        <v>0.24655845490034931</v>
      </c>
      <c r="J312" s="180">
        <v>25</v>
      </c>
      <c r="K312" s="181">
        <v>36</v>
      </c>
      <c r="L312" s="189">
        <f t="shared" si="32"/>
        <v>-30.555555555555557</v>
      </c>
      <c r="M312" s="186">
        <f t="shared" si="33"/>
        <v>0.1456536937776742</v>
      </c>
      <c r="N312" s="187">
        <f t="shared" si="34"/>
        <v>0.24655845490034931</v>
      </c>
    </row>
    <row r="313" spans="1:14" hidden="1" outlineLevel="1">
      <c r="A313" s="178"/>
      <c r="B313" s="188" t="s">
        <v>841</v>
      </c>
      <c r="C313" s="184">
        <f t="shared" si="28"/>
        <v>-39.285714285714285</v>
      </c>
      <c r="E313" s="180">
        <v>17</v>
      </c>
      <c r="F313" s="181">
        <v>28</v>
      </c>
      <c r="G313" s="189">
        <f t="shared" si="29"/>
        <v>-39.285714285714285</v>
      </c>
      <c r="H313" s="186">
        <f t="shared" si="30"/>
        <v>9.9044511768818469E-2</v>
      </c>
      <c r="I313" s="186">
        <f t="shared" si="31"/>
        <v>0.19176768714471609</v>
      </c>
      <c r="J313" s="180">
        <v>17</v>
      </c>
      <c r="K313" s="181">
        <v>28</v>
      </c>
      <c r="L313" s="189">
        <f t="shared" si="32"/>
        <v>-39.285714285714285</v>
      </c>
      <c r="M313" s="186">
        <f t="shared" si="33"/>
        <v>9.9044511768818469E-2</v>
      </c>
      <c r="N313" s="187">
        <f t="shared" si="34"/>
        <v>0.19176768714471609</v>
      </c>
    </row>
    <row r="314" spans="1:14" hidden="1" outlineLevel="1">
      <c r="A314" s="178"/>
      <c r="B314" s="188">
        <v>500</v>
      </c>
      <c r="C314" s="184">
        <f t="shared" si="28"/>
        <v>-28.571428571428569</v>
      </c>
      <c r="E314" s="180">
        <v>5</v>
      </c>
      <c r="F314" s="181">
        <v>7</v>
      </c>
      <c r="G314" s="189">
        <f t="shared" si="29"/>
        <v>-28.571428571428569</v>
      </c>
      <c r="H314" s="186">
        <f t="shared" si="30"/>
        <v>2.9130738755534843E-2</v>
      </c>
      <c r="I314" s="186">
        <f t="shared" si="31"/>
        <v>4.7941921786179023E-2</v>
      </c>
      <c r="J314" s="180">
        <v>5</v>
      </c>
      <c r="K314" s="181">
        <v>7</v>
      </c>
      <c r="L314" s="189">
        <f t="shared" si="32"/>
        <v>-28.571428571428569</v>
      </c>
      <c r="M314" s="186">
        <f t="shared" si="33"/>
        <v>2.9130738755534843E-2</v>
      </c>
      <c r="N314" s="187">
        <f t="shared" si="34"/>
        <v>4.7941921786179023E-2</v>
      </c>
    </row>
    <row r="315" spans="1:14" hidden="1" outlineLevel="1">
      <c r="A315" s="178"/>
      <c r="B315" s="188" t="s">
        <v>842</v>
      </c>
      <c r="C315" s="184">
        <f t="shared" si="28"/>
        <v>200</v>
      </c>
      <c r="E315" s="180">
        <v>3</v>
      </c>
      <c r="F315" s="181">
        <v>1</v>
      </c>
      <c r="G315" s="189">
        <f t="shared" si="29"/>
        <v>200</v>
      </c>
      <c r="H315" s="186">
        <f t="shared" si="30"/>
        <v>1.7478443253320906E-2</v>
      </c>
      <c r="I315" s="186">
        <f t="shared" si="31"/>
        <v>6.8488459694541464E-3</v>
      </c>
      <c r="J315" s="180">
        <v>3</v>
      </c>
      <c r="K315" s="181">
        <v>1</v>
      </c>
      <c r="L315" s="189">
        <f t="shared" si="32"/>
        <v>200</v>
      </c>
      <c r="M315" s="186">
        <f t="shared" si="33"/>
        <v>1.7478443253320906E-2</v>
      </c>
      <c r="N315" s="187">
        <f t="shared" si="34"/>
        <v>6.8488459694541464E-3</v>
      </c>
    </row>
    <row r="316" spans="1:14" collapsed="1">
      <c r="A316" s="178" t="s">
        <v>1170</v>
      </c>
      <c r="B316" s="177" t="s">
        <v>256</v>
      </c>
      <c r="C316" s="184">
        <f t="shared" si="28"/>
        <v>-30.434782608695656</v>
      </c>
      <c r="E316" s="180">
        <v>16</v>
      </c>
      <c r="F316" s="181">
        <v>23</v>
      </c>
      <c r="G316" s="189">
        <f t="shared" si="29"/>
        <v>-30.434782608695656</v>
      </c>
      <c r="H316" s="186">
        <f t="shared" si="30"/>
        <v>9.3218364017711497E-2</v>
      </c>
      <c r="I316" s="186">
        <f t="shared" si="31"/>
        <v>0.15752345729744538</v>
      </c>
      <c r="J316" s="180">
        <v>16</v>
      </c>
      <c r="K316" s="181">
        <v>23</v>
      </c>
      <c r="L316" s="189">
        <f t="shared" si="32"/>
        <v>-30.434782608695656</v>
      </c>
      <c r="M316" s="186">
        <f t="shared" si="33"/>
        <v>9.3218364017711497E-2</v>
      </c>
      <c r="N316" s="187">
        <f t="shared" si="34"/>
        <v>0.15752345729744538</v>
      </c>
    </row>
    <row r="317" spans="1:14" hidden="1" outlineLevel="1">
      <c r="A317" s="178"/>
      <c r="B317" s="188" t="s">
        <v>880</v>
      </c>
      <c r="C317" s="184">
        <f t="shared" si="28"/>
        <v>-16.666666666666664</v>
      </c>
      <c r="E317" s="180">
        <v>10</v>
      </c>
      <c r="F317" s="181">
        <v>12</v>
      </c>
      <c r="G317" s="189">
        <f t="shared" si="29"/>
        <v>-16.666666666666664</v>
      </c>
      <c r="H317" s="186">
        <f t="shared" si="30"/>
        <v>5.8261477511069686E-2</v>
      </c>
      <c r="I317" s="186">
        <f t="shared" si="31"/>
        <v>8.2186151633449764E-2</v>
      </c>
      <c r="J317" s="180">
        <v>10</v>
      </c>
      <c r="K317" s="181">
        <v>12</v>
      </c>
      <c r="L317" s="189">
        <f t="shared" si="32"/>
        <v>-16.666666666666664</v>
      </c>
      <c r="M317" s="186">
        <f t="shared" si="33"/>
        <v>5.8261477511069686E-2</v>
      </c>
      <c r="N317" s="187">
        <f t="shared" si="34"/>
        <v>8.2186151633449764E-2</v>
      </c>
    </row>
    <row r="318" spans="1:14" hidden="1" outlineLevel="1">
      <c r="A318" s="178"/>
      <c r="B318" s="188" t="s">
        <v>881</v>
      </c>
      <c r="C318" s="184">
        <f t="shared" si="28"/>
        <v>-50</v>
      </c>
      <c r="E318" s="180">
        <v>4</v>
      </c>
      <c r="F318" s="181">
        <v>8</v>
      </c>
      <c r="G318" s="189">
        <f t="shared" si="29"/>
        <v>-50</v>
      </c>
      <c r="H318" s="186">
        <f t="shared" si="30"/>
        <v>2.3304591004427874E-2</v>
      </c>
      <c r="I318" s="186">
        <f t="shared" si="31"/>
        <v>5.4790767755633171E-2</v>
      </c>
      <c r="J318" s="180">
        <v>4</v>
      </c>
      <c r="K318" s="181">
        <v>8</v>
      </c>
      <c r="L318" s="189">
        <f t="shared" si="32"/>
        <v>-50</v>
      </c>
      <c r="M318" s="186">
        <f t="shared" si="33"/>
        <v>2.3304591004427874E-2</v>
      </c>
      <c r="N318" s="187">
        <f t="shared" si="34"/>
        <v>5.4790767755633171E-2</v>
      </c>
    </row>
    <row r="319" spans="1:14" hidden="1" outlineLevel="1">
      <c r="A319" s="178"/>
      <c r="B319" s="188" t="s">
        <v>882</v>
      </c>
      <c r="C319" s="184">
        <f t="shared" si="28"/>
        <v>-33.333333333333329</v>
      </c>
      <c r="E319" s="180">
        <v>2</v>
      </c>
      <c r="F319" s="181">
        <v>3</v>
      </c>
      <c r="G319" s="189">
        <f t="shared" si="29"/>
        <v>-33.333333333333329</v>
      </c>
      <c r="H319" s="186">
        <f t="shared" si="30"/>
        <v>1.1652295502213937E-2</v>
      </c>
      <c r="I319" s="186">
        <f t="shared" si="31"/>
        <v>2.0546537908362441E-2</v>
      </c>
      <c r="J319" s="180">
        <v>2</v>
      </c>
      <c r="K319" s="181">
        <v>3</v>
      </c>
      <c r="L319" s="189">
        <f t="shared" si="32"/>
        <v>-33.333333333333329</v>
      </c>
      <c r="M319" s="186">
        <f t="shared" si="33"/>
        <v>1.1652295502213937E-2</v>
      </c>
      <c r="N319" s="187">
        <f t="shared" si="34"/>
        <v>2.0546537908362441E-2</v>
      </c>
    </row>
    <row r="320" spans="1:14" collapsed="1">
      <c r="A320" s="178" t="s">
        <v>1171</v>
      </c>
      <c r="B320" s="177" t="s">
        <v>1057</v>
      </c>
      <c r="C320" s="184" t="str">
        <f t="shared" si="28"/>
        <v/>
      </c>
      <c r="E320" s="180">
        <v>8</v>
      </c>
      <c r="F320" s="181">
        <v>0</v>
      </c>
      <c r="G320" s="189" t="str">
        <f t="shared" si="29"/>
        <v/>
      </c>
      <c r="H320" s="186">
        <f t="shared" si="30"/>
        <v>4.6609182008855748E-2</v>
      </c>
      <c r="I320" s="186" t="str">
        <f t="shared" si="31"/>
        <v/>
      </c>
      <c r="J320" s="180">
        <v>8</v>
      </c>
      <c r="K320" s="181">
        <v>0</v>
      </c>
      <c r="L320" s="189" t="str">
        <f t="shared" si="32"/>
        <v/>
      </c>
      <c r="M320" s="186">
        <f t="shared" si="33"/>
        <v>4.6609182008855748E-2</v>
      </c>
      <c r="N320" s="187" t="str">
        <f t="shared" si="34"/>
        <v/>
      </c>
    </row>
    <row r="321" spans="1:14" hidden="1" outlineLevel="1">
      <c r="A321" s="178"/>
      <c r="B321" s="188" t="s">
        <v>1064</v>
      </c>
      <c r="C321" s="184" t="str">
        <f t="shared" si="28"/>
        <v/>
      </c>
      <c r="E321" s="180">
        <v>8</v>
      </c>
      <c r="F321" s="181">
        <v>0</v>
      </c>
      <c r="G321" s="189" t="str">
        <f t="shared" si="29"/>
        <v/>
      </c>
      <c r="H321" s="186">
        <f t="shared" si="30"/>
        <v>4.6609182008855748E-2</v>
      </c>
      <c r="I321" s="186" t="str">
        <f t="shared" si="31"/>
        <v/>
      </c>
      <c r="J321" s="180">
        <v>8</v>
      </c>
      <c r="K321" s="181">
        <v>0</v>
      </c>
      <c r="L321" s="189" t="str">
        <f t="shared" si="32"/>
        <v/>
      </c>
      <c r="M321" s="186">
        <f t="shared" si="33"/>
        <v>4.6609182008855748E-2</v>
      </c>
      <c r="N321" s="187" t="str">
        <f t="shared" si="34"/>
        <v/>
      </c>
    </row>
    <row r="322" spans="1:14" collapsed="1">
      <c r="A322" s="178" t="s">
        <v>1172</v>
      </c>
      <c r="B322" s="177" t="s">
        <v>971</v>
      </c>
      <c r="C322" s="184" t="str">
        <f t="shared" si="28"/>
        <v/>
      </c>
      <c r="E322" s="180">
        <v>7</v>
      </c>
      <c r="F322" s="181">
        <v>0</v>
      </c>
      <c r="G322" s="189" t="str">
        <f t="shared" si="29"/>
        <v/>
      </c>
      <c r="H322" s="186">
        <f t="shared" si="30"/>
        <v>4.0783034257748776E-2</v>
      </c>
      <c r="I322" s="186" t="str">
        <f t="shared" si="31"/>
        <v/>
      </c>
      <c r="J322" s="180">
        <v>7</v>
      </c>
      <c r="K322" s="181">
        <v>0</v>
      </c>
      <c r="L322" s="189" t="str">
        <f t="shared" si="32"/>
        <v/>
      </c>
      <c r="M322" s="186">
        <f t="shared" si="33"/>
        <v>4.0783034257748776E-2</v>
      </c>
      <c r="N322" s="187" t="str">
        <f t="shared" si="34"/>
        <v/>
      </c>
    </row>
    <row r="323" spans="1:14" hidden="1" outlineLevel="1">
      <c r="A323" s="178"/>
      <c r="B323" s="188" t="s">
        <v>1008</v>
      </c>
      <c r="C323" s="184" t="str">
        <f t="shared" si="28"/>
        <v/>
      </c>
      <c r="E323" s="180">
        <v>7</v>
      </c>
      <c r="F323" s="181">
        <v>0</v>
      </c>
      <c r="G323" s="189" t="str">
        <f t="shared" si="29"/>
        <v/>
      </c>
      <c r="H323" s="186">
        <f t="shared" si="30"/>
        <v>4.0783034257748776E-2</v>
      </c>
      <c r="I323" s="186" t="str">
        <f t="shared" si="31"/>
        <v/>
      </c>
      <c r="J323" s="180">
        <v>7</v>
      </c>
      <c r="K323" s="181">
        <v>0</v>
      </c>
      <c r="L323" s="189" t="str">
        <f t="shared" si="32"/>
        <v/>
      </c>
      <c r="M323" s="186">
        <f t="shared" si="33"/>
        <v>4.0783034257748776E-2</v>
      </c>
      <c r="N323" s="187" t="str">
        <f t="shared" si="34"/>
        <v/>
      </c>
    </row>
    <row r="324" spans="1:14" collapsed="1">
      <c r="A324" s="178" t="s">
        <v>1173</v>
      </c>
      <c r="B324" s="177" t="s">
        <v>253</v>
      </c>
      <c r="C324" s="184">
        <f t="shared" si="28"/>
        <v>50</v>
      </c>
      <c r="E324" s="180">
        <v>6</v>
      </c>
      <c r="F324" s="181">
        <v>4</v>
      </c>
      <c r="G324" s="189">
        <f t="shared" si="29"/>
        <v>50</v>
      </c>
      <c r="H324" s="186">
        <f t="shared" si="30"/>
        <v>3.4956886506641811E-2</v>
      </c>
      <c r="I324" s="186">
        <f t="shared" si="31"/>
        <v>2.7395383877816586E-2</v>
      </c>
      <c r="J324" s="180">
        <v>6</v>
      </c>
      <c r="K324" s="181">
        <v>4</v>
      </c>
      <c r="L324" s="189">
        <f t="shared" si="32"/>
        <v>50</v>
      </c>
      <c r="M324" s="186">
        <f t="shared" si="33"/>
        <v>3.4956886506641811E-2</v>
      </c>
      <c r="N324" s="187">
        <f t="shared" si="34"/>
        <v>2.7395383877816586E-2</v>
      </c>
    </row>
    <row r="325" spans="1:14" hidden="1" outlineLevel="1">
      <c r="A325" s="178"/>
      <c r="B325" s="188" t="s">
        <v>883</v>
      </c>
      <c r="C325" s="184">
        <f t="shared" si="28"/>
        <v>-25</v>
      </c>
      <c r="E325" s="180">
        <v>3</v>
      </c>
      <c r="F325" s="181">
        <v>4</v>
      </c>
      <c r="G325" s="189">
        <f t="shared" si="29"/>
        <v>-25</v>
      </c>
      <c r="H325" s="186">
        <f t="shared" si="30"/>
        <v>1.7478443253320906E-2</v>
      </c>
      <c r="I325" s="186">
        <f t="shared" si="31"/>
        <v>2.7395383877816586E-2</v>
      </c>
      <c r="J325" s="180">
        <v>3</v>
      </c>
      <c r="K325" s="181">
        <v>4</v>
      </c>
      <c r="L325" s="189">
        <f t="shared" si="32"/>
        <v>-25</v>
      </c>
      <c r="M325" s="186">
        <f t="shared" si="33"/>
        <v>1.7478443253320906E-2</v>
      </c>
      <c r="N325" s="187">
        <f t="shared" si="34"/>
        <v>2.7395383877816586E-2</v>
      </c>
    </row>
    <row r="326" spans="1:14" hidden="1" outlineLevel="1">
      <c r="A326" s="178"/>
      <c r="B326" s="188" t="s">
        <v>884</v>
      </c>
      <c r="C326" s="184" t="str">
        <f t="shared" si="28"/>
        <v/>
      </c>
      <c r="E326" s="180">
        <v>2</v>
      </c>
      <c r="F326" s="181">
        <v>0</v>
      </c>
      <c r="G326" s="189" t="str">
        <f t="shared" si="29"/>
        <v/>
      </c>
      <c r="H326" s="186">
        <f t="shared" si="30"/>
        <v>1.1652295502213937E-2</v>
      </c>
      <c r="I326" s="186" t="str">
        <f t="shared" si="31"/>
        <v/>
      </c>
      <c r="J326" s="180">
        <v>2</v>
      </c>
      <c r="K326" s="181">
        <v>0</v>
      </c>
      <c r="L326" s="189" t="str">
        <f t="shared" si="32"/>
        <v/>
      </c>
      <c r="M326" s="186">
        <f t="shared" si="33"/>
        <v>1.1652295502213937E-2</v>
      </c>
      <c r="N326" s="187" t="str">
        <f t="shared" si="34"/>
        <v/>
      </c>
    </row>
    <row r="327" spans="1:14" hidden="1" outlineLevel="1">
      <c r="A327" s="178"/>
      <c r="B327" s="188" t="s">
        <v>1032</v>
      </c>
      <c r="C327" s="184" t="str">
        <f t="shared" si="28"/>
        <v/>
      </c>
      <c r="E327" s="180">
        <v>1</v>
      </c>
      <c r="F327" s="181">
        <v>0</v>
      </c>
      <c r="G327" s="189" t="str">
        <f t="shared" si="29"/>
        <v/>
      </c>
      <c r="H327" s="186">
        <f t="shared" si="30"/>
        <v>5.8261477511069686E-3</v>
      </c>
      <c r="I327" s="186" t="str">
        <f t="shared" si="31"/>
        <v/>
      </c>
      <c r="J327" s="180">
        <v>1</v>
      </c>
      <c r="K327" s="181">
        <v>0</v>
      </c>
      <c r="L327" s="189" t="str">
        <f t="shared" si="32"/>
        <v/>
      </c>
      <c r="M327" s="186">
        <f t="shared" si="33"/>
        <v>5.8261477511069686E-3</v>
      </c>
      <c r="N327" s="187" t="str">
        <f t="shared" si="34"/>
        <v/>
      </c>
    </row>
    <row r="328" spans="1:14" collapsed="1">
      <c r="A328" s="178" t="s">
        <v>1174</v>
      </c>
      <c r="B328" s="177" t="s">
        <v>614</v>
      </c>
      <c r="C328" s="184">
        <f t="shared" si="28"/>
        <v>66.666666666666657</v>
      </c>
      <c r="E328" s="180">
        <v>5</v>
      </c>
      <c r="F328" s="181">
        <v>3</v>
      </c>
      <c r="G328" s="189">
        <f t="shared" si="29"/>
        <v>66.666666666666657</v>
      </c>
      <c r="H328" s="186">
        <f t="shared" si="30"/>
        <v>2.9130738755534843E-2</v>
      </c>
      <c r="I328" s="186">
        <f t="shared" si="31"/>
        <v>2.0546537908362441E-2</v>
      </c>
      <c r="J328" s="180">
        <v>5</v>
      </c>
      <c r="K328" s="181">
        <v>3</v>
      </c>
      <c r="L328" s="189">
        <f t="shared" si="32"/>
        <v>66.666666666666657</v>
      </c>
      <c r="M328" s="186">
        <f t="shared" si="33"/>
        <v>2.9130738755534843E-2</v>
      </c>
      <c r="N328" s="187">
        <f t="shared" si="34"/>
        <v>2.0546537908362441E-2</v>
      </c>
    </row>
    <row r="329" spans="1:14" hidden="1" outlineLevel="1">
      <c r="A329" s="178"/>
      <c r="B329" s="188" t="s">
        <v>614</v>
      </c>
      <c r="C329" s="184">
        <f t="shared" si="28"/>
        <v>300</v>
      </c>
      <c r="E329" s="180">
        <v>4</v>
      </c>
      <c r="F329" s="181">
        <v>1</v>
      </c>
      <c r="G329" s="189">
        <f t="shared" si="29"/>
        <v>300</v>
      </c>
      <c r="H329" s="186">
        <f t="shared" si="30"/>
        <v>2.3304591004427874E-2</v>
      </c>
      <c r="I329" s="186">
        <f t="shared" si="31"/>
        <v>6.8488459694541464E-3</v>
      </c>
      <c r="J329" s="180">
        <v>4</v>
      </c>
      <c r="K329" s="181">
        <v>1</v>
      </c>
      <c r="L329" s="189">
        <f t="shared" si="32"/>
        <v>300</v>
      </c>
      <c r="M329" s="186">
        <f t="shared" si="33"/>
        <v>2.3304591004427874E-2</v>
      </c>
      <c r="N329" s="187">
        <f t="shared" si="34"/>
        <v>6.8488459694541464E-3</v>
      </c>
    </row>
    <row r="330" spans="1:14" hidden="1" outlineLevel="1">
      <c r="A330" s="178"/>
      <c r="B330" s="188">
        <v>812</v>
      </c>
      <c r="C330" s="184">
        <f t="shared" ref="C330:C367" si="35">IF(K330=0,"",SUM(((J330-K330)/K330)*100))</f>
        <v>0</v>
      </c>
      <c r="E330" s="180">
        <v>1</v>
      </c>
      <c r="F330" s="181">
        <v>1</v>
      </c>
      <c r="G330" s="189">
        <f t="shared" ref="G330:G367" si="36">IF(F330=0,"",SUM(((E330-F330)/F330)*100))</f>
        <v>0</v>
      </c>
      <c r="H330" s="186">
        <f t="shared" ref="H330:H367" si="37">IF(E330=0,"",SUM((E330/CntPeriod)*100))</f>
        <v>5.8261477511069686E-3</v>
      </c>
      <c r="I330" s="186">
        <f t="shared" ref="I330:I367" si="38">IF(F330=0,"",SUM((F330/CntPeriodPrevYear)*100))</f>
        <v>6.8488459694541464E-3</v>
      </c>
      <c r="J330" s="180">
        <v>1</v>
      </c>
      <c r="K330" s="181">
        <v>1</v>
      </c>
      <c r="L330" s="189">
        <f t="shared" ref="L330:L367" si="39">IF(K330=0,"",SUM(((J330-K330)/K330)*100))</f>
        <v>0</v>
      </c>
      <c r="M330" s="186">
        <f t="shared" ref="M330:M367" si="40">IF(J330=0,"",SUM((J330/CntYearAck)*100))</f>
        <v>5.8261477511069686E-3</v>
      </c>
      <c r="N330" s="187">
        <f t="shared" ref="N330:N367" si="41">IF(K330=0,"",SUM((K330/CntPrevYearAck)*100))</f>
        <v>6.8488459694541464E-3</v>
      </c>
    </row>
    <row r="331" spans="1:14" hidden="1" outlineLevel="1">
      <c r="A331" s="178"/>
      <c r="B331" s="188" t="s">
        <v>888</v>
      </c>
      <c r="C331" s="184">
        <f t="shared" si="35"/>
        <v>-100</v>
      </c>
      <c r="E331" s="180">
        <v>0</v>
      </c>
      <c r="F331" s="181">
        <v>1</v>
      </c>
      <c r="G331" s="189">
        <f t="shared" si="36"/>
        <v>-100</v>
      </c>
      <c r="H331" s="186" t="str">
        <f t="shared" si="37"/>
        <v/>
      </c>
      <c r="I331" s="186">
        <f t="shared" si="38"/>
        <v>6.8488459694541464E-3</v>
      </c>
      <c r="J331" s="180">
        <v>0</v>
      </c>
      <c r="K331" s="181">
        <v>1</v>
      </c>
      <c r="L331" s="189">
        <f t="shared" si="39"/>
        <v>-100</v>
      </c>
      <c r="M331" s="186" t="str">
        <f t="shared" si="40"/>
        <v/>
      </c>
      <c r="N331" s="187">
        <f t="shared" si="41"/>
        <v>6.8488459694541464E-3</v>
      </c>
    </row>
    <row r="332" spans="1:14" collapsed="1">
      <c r="A332" s="178" t="s">
        <v>1175</v>
      </c>
      <c r="B332" s="177" t="s">
        <v>277</v>
      </c>
      <c r="C332" s="184">
        <f t="shared" si="35"/>
        <v>-88.461538461538453</v>
      </c>
      <c r="E332" s="180">
        <v>3</v>
      </c>
      <c r="F332" s="181">
        <v>26</v>
      </c>
      <c r="G332" s="189">
        <f t="shared" si="36"/>
        <v>-88.461538461538453</v>
      </c>
      <c r="H332" s="186">
        <f t="shared" si="37"/>
        <v>1.7478443253320906E-2</v>
      </c>
      <c r="I332" s="186">
        <f t="shared" si="38"/>
        <v>0.17806999520580782</v>
      </c>
      <c r="J332" s="180">
        <v>3</v>
      </c>
      <c r="K332" s="181">
        <v>26</v>
      </c>
      <c r="L332" s="189">
        <f t="shared" si="39"/>
        <v>-88.461538461538453</v>
      </c>
      <c r="M332" s="186">
        <f t="shared" si="40"/>
        <v>1.7478443253320906E-2</v>
      </c>
      <c r="N332" s="187">
        <f t="shared" si="41"/>
        <v>0.17806999520580782</v>
      </c>
    </row>
    <row r="333" spans="1:14" hidden="1" outlineLevel="1">
      <c r="A333" s="178"/>
      <c r="B333" s="188">
        <v>7</v>
      </c>
      <c r="C333" s="184">
        <f t="shared" si="35"/>
        <v>-33.333333333333329</v>
      </c>
      <c r="E333" s="180">
        <v>2</v>
      </c>
      <c r="F333" s="181">
        <v>3</v>
      </c>
      <c r="G333" s="189">
        <f t="shared" si="36"/>
        <v>-33.333333333333329</v>
      </c>
      <c r="H333" s="186">
        <f t="shared" si="37"/>
        <v>1.1652295502213937E-2</v>
      </c>
      <c r="I333" s="186">
        <f t="shared" si="38"/>
        <v>2.0546537908362441E-2</v>
      </c>
      <c r="J333" s="180">
        <v>2</v>
      </c>
      <c r="K333" s="181">
        <v>3</v>
      </c>
      <c r="L333" s="189">
        <f t="shared" si="39"/>
        <v>-33.333333333333329</v>
      </c>
      <c r="M333" s="186">
        <f t="shared" si="40"/>
        <v>1.1652295502213937E-2</v>
      </c>
      <c r="N333" s="187">
        <f t="shared" si="41"/>
        <v>2.0546537908362441E-2</v>
      </c>
    </row>
    <row r="334" spans="1:14" hidden="1" outlineLevel="1">
      <c r="A334" s="178"/>
      <c r="B334" s="188">
        <v>4</v>
      </c>
      <c r="C334" s="184">
        <f t="shared" si="35"/>
        <v>-91.666666666666657</v>
      </c>
      <c r="E334" s="180">
        <v>1</v>
      </c>
      <c r="F334" s="181">
        <v>12</v>
      </c>
      <c r="G334" s="189">
        <f t="shared" si="36"/>
        <v>-91.666666666666657</v>
      </c>
      <c r="H334" s="186">
        <f t="shared" si="37"/>
        <v>5.8261477511069686E-3</v>
      </c>
      <c r="I334" s="186">
        <f t="shared" si="38"/>
        <v>8.2186151633449764E-2</v>
      </c>
      <c r="J334" s="180">
        <v>1</v>
      </c>
      <c r="K334" s="181">
        <v>12</v>
      </c>
      <c r="L334" s="189">
        <f t="shared" si="39"/>
        <v>-91.666666666666657</v>
      </c>
      <c r="M334" s="186">
        <f t="shared" si="40"/>
        <v>5.8261477511069686E-3</v>
      </c>
      <c r="N334" s="187">
        <f t="shared" si="41"/>
        <v>8.2186151633449764E-2</v>
      </c>
    </row>
    <row r="335" spans="1:14" hidden="1" outlineLevel="1">
      <c r="A335" s="178"/>
      <c r="B335" s="188">
        <v>3</v>
      </c>
      <c r="C335" s="184">
        <f t="shared" si="35"/>
        <v>-100</v>
      </c>
      <c r="E335" s="180">
        <v>0</v>
      </c>
      <c r="F335" s="181">
        <v>11</v>
      </c>
      <c r="G335" s="189">
        <f t="shared" si="36"/>
        <v>-100</v>
      </c>
      <c r="H335" s="186" t="str">
        <f t="shared" si="37"/>
        <v/>
      </c>
      <c r="I335" s="186">
        <f t="shared" si="38"/>
        <v>7.5337305663995616E-2</v>
      </c>
      <c r="J335" s="180">
        <v>0</v>
      </c>
      <c r="K335" s="181">
        <v>11</v>
      </c>
      <c r="L335" s="189">
        <f t="shared" si="39"/>
        <v>-100</v>
      </c>
      <c r="M335" s="186" t="str">
        <f t="shared" si="40"/>
        <v/>
      </c>
      <c r="N335" s="187">
        <f t="shared" si="41"/>
        <v>7.5337305663995616E-2</v>
      </c>
    </row>
    <row r="336" spans="1:14" collapsed="1">
      <c r="A336" s="178" t="s">
        <v>1176</v>
      </c>
      <c r="B336" s="177" t="s">
        <v>241</v>
      </c>
      <c r="C336" s="184">
        <f t="shared" si="35"/>
        <v>-25</v>
      </c>
      <c r="E336" s="180">
        <v>3</v>
      </c>
      <c r="F336" s="181">
        <v>4</v>
      </c>
      <c r="G336" s="189">
        <f t="shared" si="36"/>
        <v>-25</v>
      </c>
      <c r="H336" s="186">
        <f t="shared" si="37"/>
        <v>1.7478443253320906E-2</v>
      </c>
      <c r="I336" s="186">
        <f t="shared" si="38"/>
        <v>2.7395383877816586E-2</v>
      </c>
      <c r="J336" s="180">
        <v>3</v>
      </c>
      <c r="K336" s="181">
        <v>4</v>
      </c>
      <c r="L336" s="189">
        <f t="shared" si="39"/>
        <v>-25</v>
      </c>
      <c r="M336" s="186">
        <f t="shared" si="40"/>
        <v>1.7478443253320906E-2</v>
      </c>
      <c r="N336" s="187">
        <f t="shared" si="41"/>
        <v>2.7395383877816586E-2</v>
      </c>
    </row>
    <row r="337" spans="1:14" hidden="1" outlineLevel="1">
      <c r="A337" s="178"/>
      <c r="B337" s="188" t="s">
        <v>1006</v>
      </c>
      <c r="C337" s="184" t="str">
        <f t="shared" si="35"/>
        <v/>
      </c>
      <c r="E337" s="180">
        <v>2</v>
      </c>
      <c r="F337" s="181">
        <v>0</v>
      </c>
      <c r="G337" s="189" t="str">
        <f t="shared" si="36"/>
        <v/>
      </c>
      <c r="H337" s="186">
        <f t="shared" si="37"/>
        <v>1.1652295502213937E-2</v>
      </c>
      <c r="I337" s="186" t="str">
        <f t="shared" si="38"/>
        <v/>
      </c>
      <c r="J337" s="180">
        <v>2</v>
      </c>
      <c r="K337" s="181">
        <v>0</v>
      </c>
      <c r="L337" s="189" t="str">
        <f t="shared" si="39"/>
        <v/>
      </c>
      <c r="M337" s="186">
        <f t="shared" si="40"/>
        <v>1.1652295502213937E-2</v>
      </c>
      <c r="N337" s="187" t="str">
        <f t="shared" si="41"/>
        <v/>
      </c>
    </row>
    <row r="338" spans="1:14" hidden="1" outlineLevel="1">
      <c r="A338" s="178"/>
      <c r="B338" s="188" t="s">
        <v>890</v>
      </c>
      <c r="C338" s="184">
        <f t="shared" si="35"/>
        <v>-75</v>
      </c>
      <c r="E338" s="180">
        <v>1</v>
      </c>
      <c r="F338" s="181">
        <v>4</v>
      </c>
      <c r="G338" s="189">
        <f t="shared" si="36"/>
        <v>-75</v>
      </c>
      <c r="H338" s="186">
        <f t="shared" si="37"/>
        <v>5.8261477511069686E-3</v>
      </c>
      <c r="I338" s="186">
        <f t="shared" si="38"/>
        <v>2.7395383877816586E-2</v>
      </c>
      <c r="J338" s="180">
        <v>1</v>
      </c>
      <c r="K338" s="181">
        <v>4</v>
      </c>
      <c r="L338" s="189">
        <f t="shared" si="39"/>
        <v>-75</v>
      </c>
      <c r="M338" s="186">
        <f t="shared" si="40"/>
        <v>5.8261477511069686E-3</v>
      </c>
      <c r="N338" s="187">
        <f t="shared" si="41"/>
        <v>2.7395383877816586E-2</v>
      </c>
    </row>
    <row r="339" spans="1:14" collapsed="1">
      <c r="A339" s="178" t="s">
        <v>1177</v>
      </c>
      <c r="B339" s="177" t="s">
        <v>255</v>
      </c>
      <c r="C339" s="184">
        <f t="shared" si="35"/>
        <v>200</v>
      </c>
      <c r="E339" s="180">
        <v>3</v>
      </c>
      <c r="F339" s="181">
        <v>1</v>
      </c>
      <c r="G339" s="189">
        <f t="shared" si="36"/>
        <v>200</v>
      </c>
      <c r="H339" s="186">
        <f t="shared" si="37"/>
        <v>1.7478443253320906E-2</v>
      </c>
      <c r="I339" s="186">
        <f t="shared" si="38"/>
        <v>6.8488459694541464E-3</v>
      </c>
      <c r="J339" s="180">
        <v>3</v>
      </c>
      <c r="K339" s="181">
        <v>1</v>
      </c>
      <c r="L339" s="189">
        <f t="shared" si="39"/>
        <v>200</v>
      </c>
      <c r="M339" s="186">
        <f t="shared" si="40"/>
        <v>1.7478443253320906E-2</v>
      </c>
      <c r="N339" s="187">
        <f t="shared" si="41"/>
        <v>6.8488459694541464E-3</v>
      </c>
    </row>
    <row r="340" spans="1:14" hidden="1" outlineLevel="1">
      <c r="A340" s="178"/>
      <c r="B340" s="188" t="s">
        <v>255</v>
      </c>
      <c r="C340" s="184">
        <f t="shared" si="35"/>
        <v>200</v>
      </c>
      <c r="E340" s="180">
        <v>3</v>
      </c>
      <c r="F340" s="181">
        <v>1</v>
      </c>
      <c r="G340" s="189">
        <f t="shared" si="36"/>
        <v>200</v>
      </c>
      <c r="H340" s="186">
        <f t="shared" si="37"/>
        <v>1.7478443253320906E-2</v>
      </c>
      <c r="I340" s="186">
        <f t="shared" si="38"/>
        <v>6.8488459694541464E-3</v>
      </c>
      <c r="J340" s="180">
        <v>3</v>
      </c>
      <c r="K340" s="181">
        <v>1</v>
      </c>
      <c r="L340" s="189">
        <f t="shared" si="39"/>
        <v>200</v>
      </c>
      <c r="M340" s="186">
        <f t="shared" si="40"/>
        <v>1.7478443253320906E-2</v>
      </c>
      <c r="N340" s="187">
        <f t="shared" si="41"/>
        <v>6.8488459694541464E-3</v>
      </c>
    </row>
    <row r="341" spans="1:14" collapsed="1">
      <c r="A341" s="178" t="s">
        <v>1178</v>
      </c>
      <c r="B341" s="177" t="s">
        <v>983</v>
      </c>
      <c r="C341" s="184">
        <f t="shared" si="35"/>
        <v>200</v>
      </c>
      <c r="E341" s="180">
        <v>3</v>
      </c>
      <c r="F341" s="181">
        <v>1</v>
      </c>
      <c r="G341" s="189">
        <f t="shared" si="36"/>
        <v>200</v>
      </c>
      <c r="H341" s="186">
        <f t="shared" si="37"/>
        <v>1.7478443253320906E-2</v>
      </c>
      <c r="I341" s="186">
        <f t="shared" si="38"/>
        <v>6.8488459694541464E-3</v>
      </c>
      <c r="J341" s="180">
        <v>3</v>
      </c>
      <c r="K341" s="181">
        <v>1</v>
      </c>
      <c r="L341" s="189">
        <f t="shared" si="39"/>
        <v>200</v>
      </c>
      <c r="M341" s="186">
        <f t="shared" si="40"/>
        <v>1.7478443253320906E-2</v>
      </c>
      <c r="N341" s="187">
        <f t="shared" si="41"/>
        <v>6.8488459694541464E-3</v>
      </c>
    </row>
    <row r="342" spans="1:14" hidden="1" outlineLevel="1">
      <c r="A342" s="178"/>
      <c r="B342" s="188" t="s">
        <v>1109</v>
      </c>
      <c r="C342" s="184" t="str">
        <f t="shared" si="35"/>
        <v/>
      </c>
      <c r="E342" s="180">
        <v>1</v>
      </c>
      <c r="F342" s="181">
        <v>0</v>
      </c>
      <c r="G342" s="189" t="str">
        <f t="shared" si="36"/>
        <v/>
      </c>
      <c r="H342" s="186">
        <f t="shared" si="37"/>
        <v>5.8261477511069686E-3</v>
      </c>
      <c r="I342" s="186" t="str">
        <f t="shared" si="38"/>
        <v/>
      </c>
      <c r="J342" s="180">
        <v>1</v>
      </c>
      <c r="K342" s="181">
        <v>0</v>
      </c>
      <c r="L342" s="189" t="str">
        <f t="shared" si="39"/>
        <v/>
      </c>
      <c r="M342" s="186">
        <f t="shared" si="40"/>
        <v>5.8261477511069686E-3</v>
      </c>
      <c r="N342" s="187" t="str">
        <f t="shared" si="41"/>
        <v/>
      </c>
    </row>
    <row r="343" spans="1:14" hidden="1" outlineLevel="1">
      <c r="A343" s="178"/>
      <c r="B343" s="188" t="s">
        <v>1007</v>
      </c>
      <c r="C343" s="184" t="str">
        <f t="shared" si="35"/>
        <v/>
      </c>
      <c r="E343" s="180">
        <v>1</v>
      </c>
      <c r="F343" s="181">
        <v>0</v>
      </c>
      <c r="G343" s="189" t="str">
        <f t="shared" si="36"/>
        <v/>
      </c>
      <c r="H343" s="186">
        <f t="shared" si="37"/>
        <v>5.8261477511069686E-3</v>
      </c>
      <c r="I343" s="186" t="str">
        <f t="shared" si="38"/>
        <v/>
      </c>
      <c r="J343" s="180">
        <v>1</v>
      </c>
      <c r="K343" s="181">
        <v>0</v>
      </c>
      <c r="L343" s="189" t="str">
        <f t="shared" si="39"/>
        <v/>
      </c>
      <c r="M343" s="186">
        <f t="shared" si="40"/>
        <v>5.8261477511069686E-3</v>
      </c>
      <c r="N343" s="187" t="str">
        <f t="shared" si="41"/>
        <v/>
      </c>
    </row>
    <row r="344" spans="1:14" hidden="1" outlineLevel="1">
      <c r="A344" s="178"/>
      <c r="B344" s="188" t="s">
        <v>1019</v>
      </c>
      <c r="C344" s="184" t="str">
        <f t="shared" si="35"/>
        <v/>
      </c>
      <c r="E344" s="180">
        <v>1</v>
      </c>
      <c r="F344" s="181">
        <v>0</v>
      </c>
      <c r="G344" s="189" t="str">
        <f t="shared" si="36"/>
        <v/>
      </c>
      <c r="H344" s="186">
        <f t="shared" si="37"/>
        <v>5.8261477511069686E-3</v>
      </c>
      <c r="I344" s="186" t="str">
        <f t="shared" si="38"/>
        <v/>
      </c>
      <c r="J344" s="180">
        <v>1</v>
      </c>
      <c r="K344" s="181">
        <v>0</v>
      </c>
      <c r="L344" s="189" t="str">
        <f t="shared" si="39"/>
        <v/>
      </c>
      <c r="M344" s="186">
        <f t="shared" si="40"/>
        <v>5.8261477511069686E-3</v>
      </c>
      <c r="N344" s="187" t="str">
        <f t="shared" si="41"/>
        <v/>
      </c>
    </row>
    <row r="345" spans="1:14" hidden="1" outlineLevel="1">
      <c r="A345" s="178"/>
      <c r="B345" s="188" t="s">
        <v>992</v>
      </c>
      <c r="C345" s="184">
        <f t="shared" si="35"/>
        <v>-100</v>
      </c>
      <c r="E345" s="180">
        <v>0</v>
      </c>
      <c r="F345" s="181">
        <v>1</v>
      </c>
      <c r="G345" s="189">
        <f t="shared" si="36"/>
        <v>-100</v>
      </c>
      <c r="H345" s="186" t="str">
        <f t="shared" si="37"/>
        <v/>
      </c>
      <c r="I345" s="186">
        <f t="shared" si="38"/>
        <v>6.8488459694541464E-3</v>
      </c>
      <c r="J345" s="180">
        <v>0</v>
      </c>
      <c r="K345" s="181">
        <v>1</v>
      </c>
      <c r="L345" s="189">
        <f t="shared" si="39"/>
        <v>-100</v>
      </c>
      <c r="M345" s="186" t="str">
        <f t="shared" si="40"/>
        <v/>
      </c>
      <c r="N345" s="187">
        <f t="shared" si="41"/>
        <v>6.8488459694541464E-3</v>
      </c>
    </row>
    <row r="346" spans="1:14" collapsed="1">
      <c r="A346" s="178" t="s">
        <v>1179</v>
      </c>
      <c r="B346" s="177" t="s">
        <v>1111</v>
      </c>
      <c r="C346" s="184" t="str">
        <f t="shared" si="35"/>
        <v/>
      </c>
      <c r="E346" s="180">
        <v>3</v>
      </c>
      <c r="F346" s="181">
        <v>0</v>
      </c>
      <c r="G346" s="189" t="str">
        <f t="shared" si="36"/>
        <v/>
      </c>
      <c r="H346" s="186">
        <f t="shared" si="37"/>
        <v>1.7478443253320906E-2</v>
      </c>
      <c r="I346" s="186" t="str">
        <f t="shared" si="38"/>
        <v/>
      </c>
      <c r="J346" s="180">
        <v>3</v>
      </c>
      <c r="K346" s="181">
        <v>0</v>
      </c>
      <c r="L346" s="189" t="str">
        <f t="shared" si="39"/>
        <v/>
      </c>
      <c r="M346" s="186">
        <f t="shared" si="40"/>
        <v>1.7478443253320906E-2</v>
      </c>
      <c r="N346" s="187" t="str">
        <f t="shared" si="41"/>
        <v/>
      </c>
    </row>
    <row r="347" spans="1:14" hidden="1" outlineLevel="1">
      <c r="A347" s="178"/>
      <c r="B347" s="188" t="s">
        <v>1112</v>
      </c>
      <c r="C347" s="184" t="str">
        <f t="shared" si="35"/>
        <v/>
      </c>
      <c r="E347" s="180">
        <v>3</v>
      </c>
      <c r="F347" s="181">
        <v>0</v>
      </c>
      <c r="G347" s="189" t="str">
        <f t="shared" si="36"/>
        <v/>
      </c>
      <c r="H347" s="186">
        <f t="shared" si="37"/>
        <v>1.7478443253320906E-2</v>
      </c>
      <c r="I347" s="186" t="str">
        <f t="shared" si="38"/>
        <v/>
      </c>
      <c r="J347" s="180">
        <v>3</v>
      </c>
      <c r="K347" s="181">
        <v>0</v>
      </c>
      <c r="L347" s="189" t="str">
        <f t="shared" si="39"/>
        <v/>
      </c>
      <c r="M347" s="186">
        <f t="shared" si="40"/>
        <v>1.7478443253320906E-2</v>
      </c>
      <c r="N347" s="187" t="str">
        <f t="shared" si="41"/>
        <v/>
      </c>
    </row>
    <row r="348" spans="1:14" collapsed="1">
      <c r="A348" s="178" t="s">
        <v>1180</v>
      </c>
      <c r="B348" s="177" t="s">
        <v>390</v>
      </c>
      <c r="C348" s="184">
        <f t="shared" si="35"/>
        <v>-66.666666666666657</v>
      </c>
      <c r="E348" s="180">
        <v>2</v>
      </c>
      <c r="F348" s="181">
        <v>6</v>
      </c>
      <c r="G348" s="189">
        <f t="shared" si="36"/>
        <v>-66.666666666666657</v>
      </c>
      <c r="H348" s="186">
        <f t="shared" si="37"/>
        <v>1.1652295502213937E-2</v>
      </c>
      <c r="I348" s="186">
        <f t="shared" si="38"/>
        <v>4.1093075816724882E-2</v>
      </c>
      <c r="J348" s="180">
        <v>2</v>
      </c>
      <c r="K348" s="181">
        <v>6</v>
      </c>
      <c r="L348" s="189">
        <f t="shared" si="39"/>
        <v>-66.666666666666657</v>
      </c>
      <c r="M348" s="186">
        <f t="shared" si="40"/>
        <v>1.1652295502213937E-2</v>
      </c>
      <c r="N348" s="187">
        <f t="shared" si="41"/>
        <v>4.1093075816724882E-2</v>
      </c>
    </row>
    <row r="349" spans="1:14" hidden="1" outlineLevel="1">
      <c r="A349" s="178"/>
      <c r="B349" s="188" t="s">
        <v>885</v>
      </c>
      <c r="C349" s="184">
        <f t="shared" si="35"/>
        <v>-66.666666666666657</v>
      </c>
      <c r="E349" s="180">
        <v>2</v>
      </c>
      <c r="F349" s="181">
        <v>6</v>
      </c>
      <c r="G349" s="189">
        <f t="shared" si="36"/>
        <v>-66.666666666666657</v>
      </c>
      <c r="H349" s="186">
        <f t="shared" si="37"/>
        <v>1.1652295502213937E-2</v>
      </c>
      <c r="I349" s="186">
        <f t="shared" si="38"/>
        <v>4.1093075816724882E-2</v>
      </c>
      <c r="J349" s="180">
        <v>2</v>
      </c>
      <c r="K349" s="181">
        <v>6</v>
      </c>
      <c r="L349" s="189">
        <f t="shared" si="39"/>
        <v>-66.666666666666657</v>
      </c>
      <c r="M349" s="186">
        <f t="shared" si="40"/>
        <v>1.1652295502213937E-2</v>
      </c>
      <c r="N349" s="187">
        <f t="shared" si="41"/>
        <v>4.1093075816724882E-2</v>
      </c>
    </row>
    <row r="350" spans="1:14" collapsed="1">
      <c r="A350" s="178" t="s">
        <v>1181</v>
      </c>
      <c r="B350" s="177" t="s">
        <v>245</v>
      </c>
      <c r="C350" s="184">
        <f t="shared" si="35"/>
        <v>-60</v>
      </c>
      <c r="E350" s="180">
        <v>2</v>
      </c>
      <c r="F350" s="181">
        <v>5</v>
      </c>
      <c r="G350" s="189">
        <f t="shared" si="36"/>
        <v>-60</v>
      </c>
      <c r="H350" s="186">
        <f t="shared" si="37"/>
        <v>1.1652295502213937E-2</v>
      </c>
      <c r="I350" s="186">
        <f t="shared" si="38"/>
        <v>3.4244229847270734E-2</v>
      </c>
      <c r="J350" s="180">
        <v>2</v>
      </c>
      <c r="K350" s="181">
        <v>5</v>
      </c>
      <c r="L350" s="189">
        <f t="shared" si="39"/>
        <v>-60</v>
      </c>
      <c r="M350" s="186">
        <f t="shared" si="40"/>
        <v>1.1652295502213937E-2</v>
      </c>
      <c r="N350" s="187">
        <f t="shared" si="41"/>
        <v>3.4244229847270734E-2</v>
      </c>
    </row>
    <row r="351" spans="1:14" hidden="1" outlineLevel="1">
      <c r="A351" s="178"/>
      <c r="B351" s="188" t="s">
        <v>889</v>
      </c>
      <c r="C351" s="184">
        <f t="shared" si="35"/>
        <v>-75</v>
      </c>
      <c r="E351" s="180">
        <v>1</v>
      </c>
      <c r="F351" s="181">
        <v>4</v>
      </c>
      <c r="G351" s="189">
        <f t="shared" si="36"/>
        <v>-75</v>
      </c>
      <c r="H351" s="186">
        <f t="shared" si="37"/>
        <v>5.8261477511069686E-3</v>
      </c>
      <c r="I351" s="186">
        <f t="shared" si="38"/>
        <v>2.7395383877816586E-2</v>
      </c>
      <c r="J351" s="180">
        <v>1</v>
      </c>
      <c r="K351" s="181">
        <v>4</v>
      </c>
      <c r="L351" s="189">
        <f t="shared" si="39"/>
        <v>-75</v>
      </c>
      <c r="M351" s="186">
        <f t="shared" si="40"/>
        <v>5.8261477511069686E-3</v>
      </c>
      <c r="N351" s="187">
        <f t="shared" si="41"/>
        <v>2.7395383877816586E-2</v>
      </c>
    </row>
    <row r="352" spans="1:14" hidden="1" outlineLevel="1">
      <c r="A352" s="178"/>
      <c r="B352" s="188" t="s">
        <v>276</v>
      </c>
      <c r="C352" s="184">
        <f t="shared" si="35"/>
        <v>0</v>
      </c>
      <c r="E352" s="180">
        <v>1</v>
      </c>
      <c r="F352" s="181">
        <v>1</v>
      </c>
      <c r="G352" s="189">
        <f t="shared" si="36"/>
        <v>0</v>
      </c>
      <c r="H352" s="186">
        <f t="shared" si="37"/>
        <v>5.8261477511069686E-3</v>
      </c>
      <c r="I352" s="186">
        <f t="shared" si="38"/>
        <v>6.8488459694541464E-3</v>
      </c>
      <c r="J352" s="180">
        <v>1</v>
      </c>
      <c r="K352" s="181">
        <v>1</v>
      </c>
      <c r="L352" s="189">
        <f t="shared" si="39"/>
        <v>0</v>
      </c>
      <c r="M352" s="186">
        <f t="shared" si="40"/>
        <v>5.8261477511069686E-3</v>
      </c>
      <c r="N352" s="187">
        <f t="shared" si="41"/>
        <v>6.8488459694541464E-3</v>
      </c>
    </row>
    <row r="353" spans="1:14" collapsed="1">
      <c r="A353" s="178" t="s">
        <v>1182</v>
      </c>
      <c r="B353" s="177" t="s">
        <v>1098</v>
      </c>
      <c r="C353" s="184" t="str">
        <f t="shared" si="35"/>
        <v/>
      </c>
      <c r="E353" s="180">
        <v>2</v>
      </c>
      <c r="F353" s="181">
        <v>0</v>
      </c>
      <c r="G353" s="189" t="str">
        <f t="shared" si="36"/>
        <v/>
      </c>
      <c r="H353" s="186">
        <f t="shared" si="37"/>
        <v>1.1652295502213937E-2</v>
      </c>
      <c r="I353" s="186" t="str">
        <f t="shared" si="38"/>
        <v/>
      </c>
      <c r="J353" s="180">
        <v>2</v>
      </c>
      <c r="K353" s="181">
        <v>0</v>
      </c>
      <c r="L353" s="189" t="str">
        <f t="shared" si="39"/>
        <v/>
      </c>
      <c r="M353" s="186">
        <f t="shared" si="40"/>
        <v>1.1652295502213937E-2</v>
      </c>
      <c r="N353" s="187" t="str">
        <f t="shared" si="41"/>
        <v/>
      </c>
    </row>
    <row r="354" spans="1:14" hidden="1" outlineLevel="1">
      <c r="A354" s="178"/>
      <c r="B354" s="188" t="s">
        <v>1110</v>
      </c>
      <c r="C354" s="184" t="str">
        <f t="shared" si="35"/>
        <v/>
      </c>
      <c r="E354" s="180">
        <v>2</v>
      </c>
      <c r="F354" s="181">
        <v>0</v>
      </c>
      <c r="G354" s="189" t="str">
        <f t="shared" si="36"/>
        <v/>
      </c>
      <c r="H354" s="186">
        <f t="shared" si="37"/>
        <v>1.1652295502213937E-2</v>
      </c>
      <c r="I354" s="186" t="str">
        <f t="shared" si="38"/>
        <v/>
      </c>
      <c r="J354" s="180">
        <v>2</v>
      </c>
      <c r="K354" s="181">
        <v>0</v>
      </c>
      <c r="L354" s="189" t="str">
        <f t="shared" si="39"/>
        <v/>
      </c>
      <c r="M354" s="186">
        <f t="shared" si="40"/>
        <v>1.1652295502213937E-2</v>
      </c>
      <c r="N354" s="187" t="str">
        <f t="shared" si="41"/>
        <v/>
      </c>
    </row>
    <row r="355" spans="1:14" collapsed="1">
      <c r="A355" s="178" t="s">
        <v>1183</v>
      </c>
      <c r="B355" s="177" t="s">
        <v>516</v>
      </c>
      <c r="C355" s="184" t="str">
        <f t="shared" si="35"/>
        <v/>
      </c>
      <c r="E355" s="180">
        <v>1</v>
      </c>
      <c r="F355" s="181">
        <v>0</v>
      </c>
      <c r="G355" s="189" t="str">
        <f t="shared" si="36"/>
        <v/>
      </c>
      <c r="H355" s="186">
        <f t="shared" si="37"/>
        <v>5.8261477511069686E-3</v>
      </c>
      <c r="I355" s="186" t="str">
        <f t="shared" si="38"/>
        <v/>
      </c>
      <c r="J355" s="180">
        <v>1</v>
      </c>
      <c r="K355" s="181">
        <v>0</v>
      </c>
      <c r="L355" s="189" t="str">
        <f t="shared" si="39"/>
        <v/>
      </c>
      <c r="M355" s="186">
        <f t="shared" si="40"/>
        <v>5.8261477511069686E-3</v>
      </c>
      <c r="N355" s="187" t="str">
        <f t="shared" si="41"/>
        <v/>
      </c>
    </row>
    <row r="356" spans="1:14" hidden="1" outlineLevel="1">
      <c r="A356" s="178"/>
      <c r="B356" s="188" t="s">
        <v>895</v>
      </c>
      <c r="C356" s="184" t="str">
        <f t="shared" si="35"/>
        <v/>
      </c>
      <c r="E356" s="180">
        <v>1</v>
      </c>
      <c r="F356" s="181">
        <v>0</v>
      </c>
      <c r="G356" s="189" t="str">
        <f t="shared" si="36"/>
        <v/>
      </c>
      <c r="H356" s="186">
        <f t="shared" si="37"/>
        <v>5.8261477511069686E-3</v>
      </c>
      <c r="I356" s="186" t="str">
        <f t="shared" si="38"/>
        <v/>
      </c>
      <c r="J356" s="180">
        <v>1</v>
      </c>
      <c r="K356" s="181">
        <v>0</v>
      </c>
      <c r="L356" s="189" t="str">
        <f t="shared" si="39"/>
        <v/>
      </c>
      <c r="M356" s="186">
        <f t="shared" si="40"/>
        <v>5.8261477511069686E-3</v>
      </c>
      <c r="N356" s="187" t="str">
        <f t="shared" si="41"/>
        <v/>
      </c>
    </row>
    <row r="357" spans="1:14" collapsed="1">
      <c r="A357" s="178" t="s">
        <v>1184</v>
      </c>
      <c r="B357" s="177" t="s">
        <v>243</v>
      </c>
      <c r="C357" s="184">
        <f t="shared" si="35"/>
        <v>-100</v>
      </c>
      <c r="E357" s="180">
        <v>0</v>
      </c>
      <c r="F357" s="181">
        <v>2</v>
      </c>
      <c r="G357" s="189">
        <f t="shared" si="36"/>
        <v>-100</v>
      </c>
      <c r="H357" s="186" t="str">
        <f t="shared" si="37"/>
        <v/>
      </c>
      <c r="I357" s="186">
        <f t="shared" si="38"/>
        <v>1.3697691938908293E-2</v>
      </c>
      <c r="J357" s="180">
        <v>0</v>
      </c>
      <c r="K357" s="181">
        <v>2</v>
      </c>
      <c r="L357" s="189">
        <f t="shared" si="39"/>
        <v>-100</v>
      </c>
      <c r="M357" s="186" t="str">
        <f t="shared" si="40"/>
        <v/>
      </c>
      <c r="N357" s="187">
        <f t="shared" si="41"/>
        <v>1.3697691938908293E-2</v>
      </c>
    </row>
    <row r="358" spans="1:14" hidden="1" outlineLevel="1">
      <c r="A358" s="178"/>
      <c r="B358" s="188" t="s">
        <v>893</v>
      </c>
      <c r="C358" s="184">
        <f t="shared" si="35"/>
        <v>-100</v>
      </c>
      <c r="E358" s="180">
        <v>0</v>
      </c>
      <c r="F358" s="181">
        <v>1</v>
      </c>
      <c r="G358" s="189">
        <f t="shared" si="36"/>
        <v>-100</v>
      </c>
      <c r="H358" s="186" t="str">
        <f t="shared" si="37"/>
        <v/>
      </c>
      <c r="I358" s="186">
        <f t="shared" si="38"/>
        <v>6.8488459694541464E-3</v>
      </c>
      <c r="J358" s="180">
        <v>0</v>
      </c>
      <c r="K358" s="181">
        <v>1</v>
      </c>
      <c r="L358" s="189">
        <f t="shared" si="39"/>
        <v>-100</v>
      </c>
      <c r="M358" s="186" t="str">
        <f t="shared" si="40"/>
        <v/>
      </c>
      <c r="N358" s="187">
        <f t="shared" si="41"/>
        <v>6.8488459694541464E-3</v>
      </c>
    </row>
    <row r="359" spans="1:14" hidden="1" outlineLevel="1">
      <c r="A359" s="178"/>
      <c r="B359" s="188" t="s">
        <v>892</v>
      </c>
      <c r="C359" s="184">
        <f t="shared" si="35"/>
        <v>-100</v>
      </c>
      <c r="E359" s="180">
        <v>0</v>
      </c>
      <c r="F359" s="181">
        <v>1</v>
      </c>
      <c r="G359" s="189">
        <f t="shared" si="36"/>
        <v>-100</v>
      </c>
      <c r="H359" s="186" t="str">
        <f t="shared" si="37"/>
        <v/>
      </c>
      <c r="I359" s="186">
        <f t="shared" si="38"/>
        <v>6.8488459694541464E-3</v>
      </c>
      <c r="J359" s="180">
        <v>0</v>
      </c>
      <c r="K359" s="181">
        <v>1</v>
      </c>
      <c r="L359" s="189">
        <f t="shared" si="39"/>
        <v>-100</v>
      </c>
      <c r="M359" s="186" t="str">
        <f t="shared" si="40"/>
        <v/>
      </c>
      <c r="N359" s="187">
        <f t="shared" si="41"/>
        <v>6.8488459694541464E-3</v>
      </c>
    </row>
    <row r="360" spans="1:14" collapsed="1">
      <c r="A360" s="178" t="s">
        <v>1185</v>
      </c>
      <c r="B360" s="177" t="s">
        <v>613</v>
      </c>
      <c r="C360" s="184">
        <f t="shared" si="35"/>
        <v>-100</v>
      </c>
      <c r="E360" s="180">
        <v>0</v>
      </c>
      <c r="F360" s="181">
        <v>2</v>
      </c>
      <c r="G360" s="189">
        <f t="shared" si="36"/>
        <v>-100</v>
      </c>
      <c r="H360" s="186" t="str">
        <f t="shared" si="37"/>
        <v/>
      </c>
      <c r="I360" s="186">
        <f t="shared" si="38"/>
        <v>1.3697691938908293E-2</v>
      </c>
      <c r="J360" s="180">
        <v>0</v>
      </c>
      <c r="K360" s="181">
        <v>2</v>
      </c>
      <c r="L360" s="189">
        <f t="shared" si="39"/>
        <v>-100</v>
      </c>
      <c r="M360" s="186" t="str">
        <f t="shared" si="40"/>
        <v/>
      </c>
      <c r="N360" s="187">
        <f t="shared" si="41"/>
        <v>1.3697691938908293E-2</v>
      </c>
    </row>
    <row r="361" spans="1:14" hidden="1" outlineLevel="1">
      <c r="A361" s="178"/>
      <c r="B361" s="188" t="s">
        <v>896</v>
      </c>
      <c r="C361" s="184">
        <f t="shared" si="35"/>
        <v>-100</v>
      </c>
      <c r="E361" s="180">
        <v>0</v>
      </c>
      <c r="F361" s="181">
        <v>2</v>
      </c>
      <c r="G361" s="189">
        <f t="shared" si="36"/>
        <v>-100</v>
      </c>
      <c r="H361" s="186" t="str">
        <f t="shared" si="37"/>
        <v/>
      </c>
      <c r="I361" s="186">
        <f t="shared" si="38"/>
        <v>1.3697691938908293E-2</v>
      </c>
      <c r="J361" s="180">
        <v>0</v>
      </c>
      <c r="K361" s="181">
        <v>2</v>
      </c>
      <c r="L361" s="189">
        <f t="shared" si="39"/>
        <v>-100</v>
      </c>
      <c r="M361" s="186" t="str">
        <f t="shared" si="40"/>
        <v/>
      </c>
      <c r="N361" s="187">
        <f t="shared" si="41"/>
        <v>1.3697691938908293E-2</v>
      </c>
    </row>
    <row r="362" spans="1:14" collapsed="1">
      <c r="A362" s="178" t="s">
        <v>1186</v>
      </c>
      <c r="B362" s="177" t="s">
        <v>894</v>
      </c>
      <c r="C362" s="184">
        <f t="shared" si="35"/>
        <v>-100</v>
      </c>
      <c r="E362" s="180">
        <v>0</v>
      </c>
      <c r="F362" s="181">
        <v>2</v>
      </c>
      <c r="G362" s="189">
        <f t="shared" si="36"/>
        <v>-100</v>
      </c>
      <c r="H362" s="186" t="str">
        <f t="shared" si="37"/>
        <v/>
      </c>
      <c r="I362" s="186">
        <f t="shared" si="38"/>
        <v>1.3697691938908293E-2</v>
      </c>
      <c r="J362" s="180">
        <v>0</v>
      </c>
      <c r="K362" s="181">
        <v>2</v>
      </c>
      <c r="L362" s="189">
        <f t="shared" si="39"/>
        <v>-100</v>
      </c>
      <c r="M362" s="186" t="str">
        <f t="shared" si="40"/>
        <v/>
      </c>
      <c r="N362" s="187">
        <f t="shared" si="41"/>
        <v>1.3697691938908293E-2</v>
      </c>
    </row>
    <row r="363" spans="1:14" hidden="1" outlineLevel="1">
      <c r="A363" s="178"/>
      <c r="B363" s="188" t="s">
        <v>894</v>
      </c>
      <c r="C363" s="184">
        <f t="shared" si="35"/>
        <v>-100</v>
      </c>
      <c r="E363" s="180">
        <v>0</v>
      </c>
      <c r="F363" s="181">
        <v>2</v>
      </c>
      <c r="G363" s="189">
        <f t="shared" si="36"/>
        <v>-100</v>
      </c>
      <c r="H363" s="186" t="str">
        <f t="shared" si="37"/>
        <v/>
      </c>
      <c r="I363" s="186">
        <f t="shared" si="38"/>
        <v>1.3697691938908293E-2</v>
      </c>
      <c r="J363" s="180">
        <v>0</v>
      </c>
      <c r="K363" s="181">
        <v>2</v>
      </c>
      <c r="L363" s="189">
        <f t="shared" si="39"/>
        <v>-100</v>
      </c>
      <c r="M363" s="186" t="str">
        <f t="shared" si="40"/>
        <v/>
      </c>
      <c r="N363" s="187">
        <f t="shared" si="41"/>
        <v>1.3697691938908293E-2</v>
      </c>
    </row>
    <row r="364" spans="1:14" collapsed="1">
      <c r="A364" s="178" t="s">
        <v>1127</v>
      </c>
      <c r="B364" s="177" t="s">
        <v>252</v>
      </c>
      <c r="C364" s="184">
        <f t="shared" si="35"/>
        <v>-100</v>
      </c>
      <c r="E364" s="180">
        <v>0</v>
      </c>
      <c r="F364" s="181">
        <v>1</v>
      </c>
      <c r="G364" s="189">
        <f t="shared" si="36"/>
        <v>-100</v>
      </c>
      <c r="H364" s="186" t="str">
        <f t="shared" si="37"/>
        <v/>
      </c>
      <c r="I364" s="186">
        <f t="shared" si="38"/>
        <v>6.8488459694541464E-3</v>
      </c>
      <c r="J364" s="180">
        <v>0</v>
      </c>
      <c r="K364" s="181">
        <v>1</v>
      </c>
      <c r="L364" s="189">
        <f t="shared" si="39"/>
        <v>-100</v>
      </c>
      <c r="M364" s="186" t="str">
        <f t="shared" si="40"/>
        <v/>
      </c>
      <c r="N364" s="187">
        <f t="shared" si="41"/>
        <v>6.8488459694541464E-3</v>
      </c>
    </row>
    <row r="365" spans="1:14" hidden="1" outlineLevel="1">
      <c r="A365" s="178"/>
      <c r="B365" s="188" t="s">
        <v>891</v>
      </c>
      <c r="C365" s="184">
        <f t="shared" si="35"/>
        <v>-100</v>
      </c>
      <c r="E365" s="180">
        <v>0</v>
      </c>
      <c r="F365" s="181">
        <v>1</v>
      </c>
      <c r="G365" s="189">
        <f t="shared" si="36"/>
        <v>-100</v>
      </c>
      <c r="H365" s="186" t="str">
        <f t="shared" si="37"/>
        <v/>
      </c>
      <c r="I365" s="186">
        <f t="shared" si="38"/>
        <v>6.8488459694541464E-3</v>
      </c>
      <c r="J365" s="180">
        <v>0</v>
      </c>
      <c r="K365" s="181">
        <v>1</v>
      </c>
      <c r="L365" s="189">
        <f t="shared" si="39"/>
        <v>-100</v>
      </c>
      <c r="M365" s="186" t="str">
        <f t="shared" si="40"/>
        <v/>
      </c>
      <c r="N365" s="187">
        <f t="shared" si="41"/>
        <v>6.8488459694541464E-3</v>
      </c>
    </row>
    <row r="366" spans="1:14" collapsed="1">
      <c r="A366" s="178"/>
      <c r="B366" s="177" t="s">
        <v>276</v>
      </c>
      <c r="C366" s="184">
        <f t="shared" si="35"/>
        <v>2166.666666666667</v>
      </c>
      <c r="E366" s="180">
        <v>136</v>
      </c>
      <c r="F366" s="181">
        <v>6</v>
      </c>
      <c r="G366" s="189">
        <f t="shared" si="36"/>
        <v>2166.666666666667</v>
      </c>
      <c r="H366" s="186">
        <f t="shared" si="37"/>
        <v>0.79235609415054775</v>
      </c>
      <c r="I366" s="186">
        <f t="shared" si="38"/>
        <v>4.1093075816724882E-2</v>
      </c>
      <c r="J366" s="180">
        <v>136</v>
      </c>
      <c r="K366" s="181">
        <v>6</v>
      </c>
      <c r="L366" s="189">
        <f t="shared" si="39"/>
        <v>2166.666666666667</v>
      </c>
      <c r="M366" s="186">
        <f t="shared" si="40"/>
        <v>0.79235609415054775</v>
      </c>
      <c r="N366" s="187">
        <f t="shared" si="41"/>
        <v>4.1093075816724882E-2</v>
      </c>
    </row>
    <row r="367" spans="1:14" hidden="1" outlineLevel="1">
      <c r="A367" s="178"/>
      <c r="B367" s="188" t="s">
        <v>434</v>
      </c>
      <c r="C367" s="184">
        <f t="shared" si="35"/>
        <v>2166.666666666667</v>
      </c>
      <c r="E367" s="180">
        <v>136</v>
      </c>
      <c r="F367" s="181">
        <v>6</v>
      </c>
      <c r="G367" s="189">
        <f t="shared" si="36"/>
        <v>2166.666666666667</v>
      </c>
      <c r="H367" s="186">
        <f t="shared" si="37"/>
        <v>0.79235609415054775</v>
      </c>
      <c r="I367" s="186">
        <f t="shared" si="38"/>
        <v>4.1093075816724882E-2</v>
      </c>
      <c r="J367" s="180">
        <v>136</v>
      </c>
      <c r="K367" s="181">
        <v>6</v>
      </c>
      <c r="L367" s="189">
        <f t="shared" si="39"/>
        <v>2166.666666666667</v>
      </c>
      <c r="M367" s="186">
        <f t="shared" si="40"/>
        <v>0.79235609415054775</v>
      </c>
      <c r="N367" s="187">
        <f t="shared" si="41"/>
        <v>4.1093075816724882E-2</v>
      </c>
    </row>
    <row r="368" spans="1:14">
      <c r="A368" s="178"/>
      <c r="B368" s="190"/>
      <c r="C368" s="184"/>
      <c r="E368" s="180"/>
      <c r="F368" s="181"/>
      <c r="G368" s="189"/>
      <c r="H368" s="186"/>
      <c r="I368" s="186"/>
      <c r="J368" s="180"/>
      <c r="K368" s="181"/>
      <c r="L368" s="189"/>
      <c r="M368" s="186"/>
      <c r="N368" s="187"/>
    </row>
    <row r="369" spans="2:14" ht="15" customHeight="1">
      <c r="B369" s="191" t="s">
        <v>897</v>
      </c>
      <c r="C369" s="192"/>
      <c r="D369" s="193"/>
      <c r="E369" s="194">
        <f>SUM(E10 + E19 + E39 + E56 + E67 + E86 + E113 + E136 + E141 + E150 + E161 + E173 + E179 + E188 + E195 + E205 + E207 + E214 + E224 + E236 + E242 + E251 + E255 + E260 + E268 + E276 + E282 + E286 + E294 + E300 + E304 + E306 + E308 + E310 + E312 + E316 + E320 + E322 + E324 + E328 + E332 + E336 + E339 + E341 + E346 + E348 + E350 + E353 + E355 + E357 + E360 + E362 + E364 + E366)</f>
        <v>17164</v>
      </c>
      <c r="F369" s="194">
        <f>SUM(F10 + F19 + F39 + F56 + F67 + F86 + F113 + F136 + F141 + F150 + F161 + F173 + F179 + F188 + F195 + F205 + F207 + F214 + F224 + F236 + F242 + F251 + F255 + F260 + F268 + F276 + F282 + F286 + F294 + F300 + F304 + F306 + F308 + F310 + F312 + F316 + F320 + F322 + F324 + F328 + F332 + F336 + F339 + F341 + F346 + F348 + F350 + F353 + F355 + F357 + F360 + F362 + F364 + F366)</f>
        <v>14601</v>
      </c>
      <c r="G369" s="194"/>
      <c r="H369" s="195"/>
      <c r="I369" s="195"/>
      <c r="J369" s="194">
        <f>SUM(J10 + J19 + J39 + J56 + J67 + J86 + J113 + J136 + J141 + J150 + J161 + J173 + J179 + J188 + J195 + J205 + J207 + J214 + J224 + J236 + J242 + J251 + J255 + J260 + J268 + J276 + J282 + J286 + J294 + J300 + J304 + J306 + J308 + J310 + J312 + J316 + J320 + J322 + J324 + J328 + J332 + J336 + J339 + J341 + J346 + J348 + J350 + J353 + J355 + J357 + J360 + J362 + J364 + J366)</f>
        <v>17164</v>
      </c>
      <c r="K369" s="194">
        <f>SUM(K10 + K19 + K39 + K56 + K67 + K86 + K113 + K136 + K141 + K150 + K161 + K173 + K179 + K188 + K195 + K205 + K207 + K214 + K224 + K236 + K242 + K251 + K255 + K260 + K268 + K276 + K282 + K286 + K294 + K300 + K304 + K306 + K308 + K310 + K312 + K316 + K320 + K322 + K324 + K328 + K332 + K336 + K339 + K341 + K346 + K348 + K350 + K353 + K355 + K357 + K360 + K362 + K364 + K366)</f>
        <v>14601</v>
      </c>
      <c r="L369" s="194"/>
      <c r="M369" s="195"/>
      <c r="N369" s="191"/>
    </row>
    <row r="370" spans="2:14">
      <c r="B370" s="196" t="s">
        <v>898</v>
      </c>
      <c r="C370" s="197"/>
      <c r="D370" s="193"/>
      <c r="E370" s="198">
        <f>CntPeriod-CntPeriodPrevYear</f>
        <v>2563</v>
      </c>
      <c r="F370" s="198"/>
      <c r="G370" s="199">
        <f>(CntPeriod/CntPeriodPrevYear)-100%</f>
        <v>0.17553592219710978</v>
      </c>
      <c r="H370" s="200"/>
      <c r="I370" s="201"/>
      <c r="J370" s="202">
        <f>CntYearAck-CntPrevYearAck</f>
        <v>2563</v>
      </c>
      <c r="K370" s="203"/>
      <c r="L370" s="204">
        <f>(CntYearAck/CntPrevYearAck)-100%</f>
        <v>0.17553592219710978</v>
      </c>
      <c r="M370" s="205"/>
      <c r="N370" s="205"/>
    </row>
    <row r="373" spans="2:14">
      <c r="B373" s="59" t="s">
        <v>899</v>
      </c>
    </row>
    <row r="374" spans="2:14">
      <c r="B374" s="59" t="s">
        <v>900</v>
      </c>
      <c r="C374" s="206"/>
      <c r="D374" s="207"/>
      <c r="E374" s="59"/>
      <c r="F374" s="59"/>
      <c r="G374" s="59"/>
      <c r="H374" s="59"/>
      <c r="I374" s="59"/>
      <c r="J374" s="59"/>
      <c r="K374" s="59"/>
      <c r="L374" s="59"/>
      <c r="M374" s="59"/>
    </row>
    <row r="375" spans="2:14">
      <c r="C375" s="206"/>
      <c r="D375" s="207"/>
      <c r="E375" s="59"/>
      <c r="F375" s="59"/>
      <c r="G375" s="59"/>
      <c r="H375" s="59"/>
      <c r="I375" s="59"/>
      <c r="J375" s="59"/>
      <c r="K375" s="59"/>
      <c r="L375" s="59"/>
      <c r="M375" s="59"/>
    </row>
    <row r="376" spans="2:14">
      <c r="C376" s="206"/>
      <c r="D376" s="207"/>
      <c r="E376" s="59"/>
      <c r="F376" s="59"/>
      <c r="G376" s="59"/>
      <c r="H376" s="59"/>
      <c r="I376" s="59"/>
      <c r="J376" s="59"/>
      <c r="K376" s="59"/>
      <c r="L376" s="59"/>
      <c r="M376" s="59"/>
    </row>
    <row r="377" spans="2:14">
      <c r="B377" s="59" t="s">
        <v>620</v>
      </c>
      <c r="C377" s="206"/>
      <c r="D377" s="207"/>
      <c r="E377" s="59"/>
      <c r="F377" s="59"/>
      <c r="G377" s="59"/>
      <c r="H377" s="59"/>
      <c r="I377" s="59"/>
      <c r="J377" s="59"/>
      <c r="K377" s="59"/>
      <c r="L377" s="59"/>
      <c r="M377" s="59"/>
    </row>
    <row r="378" spans="2:14">
      <c r="C378" s="206"/>
      <c r="D378" s="207"/>
      <c r="E378" s="59"/>
      <c r="F378" s="59"/>
      <c r="G378" s="59"/>
      <c r="H378" s="59"/>
      <c r="I378" s="59"/>
      <c r="J378" s="59"/>
      <c r="K378" s="59"/>
      <c r="L378" s="59"/>
      <c r="M378" s="59"/>
    </row>
  </sheetData>
  <mergeCells count="10">
    <mergeCell ref="A7:D7"/>
    <mergeCell ref="E7:I7"/>
    <mergeCell ref="J7:N7"/>
    <mergeCell ref="E8:F8"/>
    <mergeCell ref="H8:I8"/>
    <mergeCell ref="J8:K8"/>
    <mergeCell ref="M8:N8"/>
    <mergeCell ref="E1:N1"/>
    <mergeCell ref="E6:I6"/>
    <mergeCell ref="J6:N6"/>
  </mergeCells>
  <conditionalFormatting sqref="E370:H370 J370:L370">
    <cfRule type="cellIs" dxfId="9" priority="3" stopIfTrue="1" operator="lessThan">
      <formula>0</formula>
    </cfRule>
  </conditionalFormatting>
  <conditionalFormatting sqref="G10:G368 L10:L368">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97853584-45DB-4FED-9DDC-51B9AEA87A30}">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C374:C378</xm:sqref>
        </x14:conditionalFormatting>
        <x14:conditionalFormatting xmlns:xm="http://schemas.microsoft.com/office/excel/2006/main">
          <x14:cfRule type="iconSet" priority="2" id="{8094EAE8-7131-4257-825D-E92617595BE0}">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C379:C1048576 C1:C5 C8:C373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105"/>
  <sheetViews>
    <sheetView workbookViewId="0">
      <pane ySplit="7" topLeftCell="A8" activePane="bottomLeft" state="frozen"/>
      <selection activeCell="D49" sqref="D49"/>
      <selection pane="bottomLeft" activeCell="K26" sqref="K26"/>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427</v>
      </c>
      <c r="C2" s="56"/>
      <c r="D2" s="56"/>
      <c r="E2" s="56"/>
      <c r="F2" s="56"/>
      <c r="G2" s="56"/>
      <c r="H2"/>
      <c r="I2"/>
    </row>
    <row r="4" spans="1:9">
      <c r="A4" s="55" t="s">
        <v>428</v>
      </c>
      <c r="B4" s="22"/>
      <c r="C4" s="65"/>
      <c r="D4" s="65"/>
      <c r="E4" s="22"/>
      <c r="F4" s="227" t="s">
        <v>423</v>
      </c>
      <c r="G4" s="227"/>
      <c r="H4" s="227"/>
      <c r="I4" s="227"/>
    </row>
    <row r="5" spans="1:9">
      <c r="A5" s="102"/>
      <c r="B5" s="247" t="s">
        <v>500</v>
      </c>
      <c r="C5" s="248"/>
      <c r="D5" s="247" t="s">
        <v>500</v>
      </c>
      <c r="E5" s="248"/>
      <c r="F5" s="249" t="s">
        <v>501</v>
      </c>
      <c r="G5" s="250"/>
      <c r="H5" s="251" t="s">
        <v>502</v>
      </c>
      <c r="I5" s="252"/>
    </row>
    <row r="6" spans="1:9">
      <c r="A6" s="102" t="s">
        <v>521</v>
      </c>
      <c r="B6" s="103" t="str">
        <f>Innehåll!D79</f>
        <v xml:space="preserve"> 2024-01</v>
      </c>
      <c r="C6" s="103" t="str">
        <f>Innehåll!D80</f>
        <v xml:space="preserve"> 2023-01</v>
      </c>
      <c r="D6" s="103" t="str">
        <f>Innehåll!D81</f>
        <v>YTD  2024</v>
      </c>
      <c r="E6" s="103" t="str">
        <f>Innehåll!D82</f>
        <v>YTD  2023</v>
      </c>
      <c r="F6" s="104" t="str">
        <f>B6</f>
        <v xml:space="preserve"> 2024-01</v>
      </c>
      <c r="G6" s="105" t="str">
        <f>D6</f>
        <v>YTD  2024</v>
      </c>
      <c r="H6" s="106" t="str">
        <f>D6</f>
        <v>YTD  2024</v>
      </c>
      <c r="I6" s="106" t="str">
        <f>E6</f>
        <v>YTD  2023</v>
      </c>
    </row>
    <row r="7" spans="1:9" hidden="1">
      <c r="A7" s="164" t="s">
        <v>309</v>
      </c>
      <c r="B7" s="134" t="s">
        <v>288</v>
      </c>
      <c r="C7" s="134" t="s">
        <v>289</v>
      </c>
      <c r="D7" s="134" t="s">
        <v>290</v>
      </c>
      <c r="E7" s="134" t="s">
        <v>291</v>
      </c>
      <c r="F7" s="134" t="s">
        <v>304</v>
      </c>
      <c r="G7" s="134" t="s">
        <v>305</v>
      </c>
      <c r="H7" s="134" t="s">
        <v>292</v>
      </c>
      <c r="I7" s="134" t="s">
        <v>293</v>
      </c>
    </row>
    <row r="8" spans="1:9">
      <c r="A8" s="165" t="s">
        <v>936</v>
      </c>
      <c r="B8" s="141">
        <v>28</v>
      </c>
      <c r="C8" s="141">
        <v>40</v>
      </c>
      <c r="D8" s="141">
        <v>28</v>
      </c>
      <c r="E8" s="141">
        <v>40</v>
      </c>
      <c r="F8" s="143">
        <v>-30</v>
      </c>
      <c r="G8" s="143">
        <v>-30</v>
      </c>
      <c r="H8" s="143">
        <v>0.16999999999999998</v>
      </c>
      <c r="I8" s="143">
        <v>0.28000000000000003</v>
      </c>
    </row>
    <row r="9" spans="1:9">
      <c r="A9" s="166" t="s">
        <v>241</v>
      </c>
      <c r="B9" s="141">
        <v>3</v>
      </c>
      <c r="C9" s="141">
        <v>4</v>
      </c>
      <c r="D9" s="141">
        <v>3</v>
      </c>
      <c r="E9" s="141">
        <v>4</v>
      </c>
      <c r="F9" s="143">
        <v>-25</v>
      </c>
      <c r="G9" s="143">
        <v>-25</v>
      </c>
      <c r="H9" s="143">
        <v>0.02</v>
      </c>
      <c r="I9" s="143">
        <v>0.03</v>
      </c>
    </row>
    <row r="10" spans="1:9">
      <c r="A10" s="166" t="s">
        <v>248</v>
      </c>
      <c r="B10" s="141">
        <v>25</v>
      </c>
      <c r="C10" s="141">
        <v>36</v>
      </c>
      <c r="D10" s="141">
        <v>25</v>
      </c>
      <c r="E10" s="141">
        <v>36</v>
      </c>
      <c r="F10" s="143">
        <v>-30.555555555555557</v>
      </c>
      <c r="G10" s="143">
        <v>-30.555555555555557</v>
      </c>
      <c r="H10" s="143">
        <v>0.15</v>
      </c>
      <c r="I10" s="143">
        <v>0.25</v>
      </c>
    </row>
    <row r="11" spans="1:9">
      <c r="A11" s="165" t="s">
        <v>294</v>
      </c>
      <c r="B11" s="141">
        <v>63</v>
      </c>
      <c r="C11" s="141">
        <v>29</v>
      </c>
      <c r="D11" s="141">
        <v>63</v>
      </c>
      <c r="E11" s="141">
        <v>29</v>
      </c>
      <c r="F11" s="143">
        <v>117.24137931034481</v>
      </c>
      <c r="G11" s="143">
        <v>117.24137931034481</v>
      </c>
      <c r="H11" s="143">
        <v>0.36</v>
      </c>
      <c r="I11" s="143">
        <v>0.2</v>
      </c>
    </row>
    <row r="12" spans="1:9">
      <c r="A12" s="166" t="s">
        <v>253</v>
      </c>
      <c r="B12" s="141">
        <v>6</v>
      </c>
      <c r="C12" s="141">
        <v>4</v>
      </c>
      <c r="D12" s="141">
        <v>6</v>
      </c>
      <c r="E12" s="141">
        <v>4</v>
      </c>
      <c r="F12" s="143">
        <v>50</v>
      </c>
      <c r="G12" s="143">
        <v>50</v>
      </c>
      <c r="H12" s="143">
        <v>0.03</v>
      </c>
      <c r="I12" s="143">
        <v>0.03</v>
      </c>
    </row>
    <row r="13" spans="1:9">
      <c r="A13" s="166" t="s">
        <v>256</v>
      </c>
      <c r="B13" s="141">
        <v>57</v>
      </c>
      <c r="C13" s="141">
        <v>25</v>
      </c>
      <c r="D13" s="141">
        <v>57</v>
      </c>
      <c r="E13" s="141">
        <v>25</v>
      </c>
      <c r="F13" s="143">
        <v>128</v>
      </c>
      <c r="G13" s="143">
        <v>128</v>
      </c>
      <c r="H13" s="143">
        <v>0.33</v>
      </c>
      <c r="I13" s="143">
        <v>0.17</v>
      </c>
    </row>
    <row r="14" spans="1:9">
      <c r="A14" s="165" t="s">
        <v>295</v>
      </c>
      <c r="B14" s="141">
        <v>896</v>
      </c>
      <c r="C14" s="141">
        <v>1130</v>
      </c>
      <c r="D14" s="141">
        <v>896</v>
      </c>
      <c r="E14" s="141">
        <v>1130</v>
      </c>
      <c r="F14" s="143">
        <v>-20.707964601769913</v>
      </c>
      <c r="G14" s="143">
        <v>-20.707964601769913</v>
      </c>
      <c r="H14" s="143">
        <v>5.22</v>
      </c>
      <c r="I14" s="143">
        <v>7.74</v>
      </c>
    </row>
    <row r="15" spans="1:9">
      <c r="A15" s="166" t="s">
        <v>244</v>
      </c>
      <c r="B15" s="141">
        <v>824</v>
      </c>
      <c r="C15" s="141">
        <v>1024</v>
      </c>
      <c r="D15" s="141">
        <v>824</v>
      </c>
      <c r="E15" s="141">
        <v>1024</v>
      </c>
      <c r="F15" s="143">
        <v>-19.53125</v>
      </c>
      <c r="G15" s="143">
        <v>-19.53125</v>
      </c>
      <c r="H15" s="143">
        <v>4.8</v>
      </c>
      <c r="I15" s="143">
        <v>7.01</v>
      </c>
    </row>
    <row r="16" spans="1:9">
      <c r="A16" s="166" t="s">
        <v>261</v>
      </c>
      <c r="B16" s="141">
        <v>72</v>
      </c>
      <c r="C16" s="141">
        <v>106</v>
      </c>
      <c r="D16" s="141">
        <v>72</v>
      </c>
      <c r="E16" s="141">
        <v>106</v>
      </c>
      <c r="F16" s="143">
        <v>-32.075471698113205</v>
      </c>
      <c r="G16" s="143">
        <v>-32.075471698113205</v>
      </c>
      <c r="H16" s="143">
        <v>0.42</v>
      </c>
      <c r="I16" s="143">
        <v>0.73</v>
      </c>
    </row>
    <row r="17" spans="1:9">
      <c r="A17" s="165" t="s">
        <v>1099</v>
      </c>
      <c r="B17" s="141">
        <v>2</v>
      </c>
      <c r="C17" s="141">
        <v>2</v>
      </c>
      <c r="D17" s="141">
        <v>2</v>
      </c>
      <c r="E17" s="141">
        <v>2</v>
      </c>
      <c r="F17" s="143">
        <v>0</v>
      </c>
      <c r="G17" s="143">
        <v>0</v>
      </c>
      <c r="H17" s="143">
        <v>0.01</v>
      </c>
      <c r="I17" s="143">
        <v>0.01</v>
      </c>
    </row>
    <row r="18" spans="1:9">
      <c r="A18" s="166" t="s">
        <v>276</v>
      </c>
      <c r="B18" s="141">
        <v>2</v>
      </c>
      <c r="C18" s="141">
        <v>0</v>
      </c>
      <c r="D18" s="141">
        <v>2</v>
      </c>
      <c r="E18" s="141">
        <v>0</v>
      </c>
      <c r="F18" s="143">
        <v>0</v>
      </c>
      <c r="G18" s="143">
        <v>0</v>
      </c>
      <c r="H18" s="143">
        <v>0.01</v>
      </c>
      <c r="I18" s="143">
        <v>0</v>
      </c>
    </row>
    <row r="19" spans="1:9">
      <c r="A19" s="166" t="s">
        <v>613</v>
      </c>
      <c r="B19" s="141">
        <v>0</v>
      </c>
      <c r="C19" s="141">
        <v>2</v>
      </c>
      <c r="D19" s="141">
        <v>0</v>
      </c>
      <c r="E19" s="141">
        <v>2</v>
      </c>
      <c r="F19" s="143">
        <v>-100</v>
      </c>
      <c r="G19" s="143">
        <v>-100</v>
      </c>
      <c r="H19" s="143">
        <v>0</v>
      </c>
      <c r="I19" s="143">
        <v>0.01</v>
      </c>
    </row>
    <row r="20" spans="1:9">
      <c r="A20" s="165" t="s">
        <v>974</v>
      </c>
      <c r="B20" s="141">
        <v>1246</v>
      </c>
      <c r="C20" s="141">
        <v>1119</v>
      </c>
      <c r="D20" s="141">
        <v>1246</v>
      </c>
      <c r="E20" s="141">
        <v>1119</v>
      </c>
      <c r="F20" s="143">
        <v>11.349419124218052</v>
      </c>
      <c r="G20" s="143">
        <v>11.349419124218052</v>
      </c>
      <c r="H20" s="143">
        <v>7.27</v>
      </c>
      <c r="I20" s="143">
        <v>7.66</v>
      </c>
    </row>
    <row r="21" spans="1:9">
      <c r="A21" s="166" t="s">
        <v>247</v>
      </c>
      <c r="B21" s="141">
        <v>155</v>
      </c>
      <c r="C21" s="141">
        <v>388</v>
      </c>
      <c r="D21" s="141">
        <v>155</v>
      </c>
      <c r="E21" s="141">
        <v>388</v>
      </c>
      <c r="F21" s="143">
        <v>-60.051546391752574</v>
      </c>
      <c r="G21" s="143">
        <v>-60.051546391752574</v>
      </c>
      <c r="H21" s="143">
        <v>0.9</v>
      </c>
      <c r="I21" s="143">
        <v>2.66</v>
      </c>
    </row>
    <row r="22" spans="1:9">
      <c r="A22" s="166" t="s">
        <v>249</v>
      </c>
      <c r="B22" s="141">
        <v>485</v>
      </c>
      <c r="C22" s="141">
        <v>156</v>
      </c>
      <c r="D22" s="141">
        <v>485</v>
      </c>
      <c r="E22" s="141">
        <v>156</v>
      </c>
      <c r="F22" s="143">
        <v>210.89743589743591</v>
      </c>
      <c r="G22" s="143">
        <v>210.89743589743591</v>
      </c>
      <c r="H22" s="143">
        <v>2.83</v>
      </c>
      <c r="I22" s="143">
        <v>1.07</v>
      </c>
    </row>
    <row r="23" spans="1:9">
      <c r="A23" s="166" t="s">
        <v>267</v>
      </c>
      <c r="B23" s="141">
        <v>202</v>
      </c>
      <c r="C23" s="141">
        <v>332</v>
      </c>
      <c r="D23" s="141">
        <v>202</v>
      </c>
      <c r="E23" s="141">
        <v>332</v>
      </c>
      <c r="F23" s="143">
        <v>-39.156626506024097</v>
      </c>
      <c r="G23" s="143">
        <v>-39.156626506024097</v>
      </c>
      <c r="H23" s="143">
        <v>1.18</v>
      </c>
      <c r="I23" s="143">
        <v>2.27</v>
      </c>
    </row>
    <row r="24" spans="1:9">
      <c r="A24" s="166" t="s">
        <v>516</v>
      </c>
      <c r="B24" s="141">
        <v>1</v>
      </c>
      <c r="C24" s="141">
        <v>0</v>
      </c>
      <c r="D24" s="141">
        <v>1</v>
      </c>
      <c r="E24" s="141">
        <v>0</v>
      </c>
      <c r="F24" s="143">
        <v>0</v>
      </c>
      <c r="G24" s="143">
        <v>0</v>
      </c>
      <c r="H24" s="143">
        <v>0.01</v>
      </c>
      <c r="I24" s="143">
        <v>0</v>
      </c>
    </row>
    <row r="25" spans="1:9">
      <c r="A25" s="166" t="s">
        <v>546</v>
      </c>
      <c r="B25" s="141">
        <v>325</v>
      </c>
      <c r="C25" s="141">
        <v>225</v>
      </c>
      <c r="D25" s="141">
        <v>325</v>
      </c>
      <c r="E25" s="141">
        <v>225</v>
      </c>
      <c r="F25" s="143">
        <v>44.444444444444443</v>
      </c>
      <c r="G25" s="143">
        <v>44.444444444444443</v>
      </c>
      <c r="H25" s="143">
        <v>1.89</v>
      </c>
      <c r="I25" s="143">
        <v>1.54</v>
      </c>
    </row>
    <row r="26" spans="1:9">
      <c r="A26" s="166" t="s">
        <v>616</v>
      </c>
      <c r="B26" s="141">
        <v>63</v>
      </c>
      <c r="C26" s="141">
        <v>18</v>
      </c>
      <c r="D26" s="141">
        <v>63</v>
      </c>
      <c r="E26" s="141">
        <v>18</v>
      </c>
      <c r="F26" s="143">
        <v>250</v>
      </c>
      <c r="G26" s="143">
        <v>250</v>
      </c>
      <c r="H26" s="143">
        <v>0.37</v>
      </c>
      <c r="I26" s="143">
        <v>0.12</v>
      </c>
    </row>
    <row r="27" spans="1:9">
      <c r="A27" s="166" t="s">
        <v>971</v>
      </c>
      <c r="B27" s="141">
        <v>7</v>
      </c>
      <c r="C27" s="141">
        <v>0</v>
      </c>
      <c r="D27" s="141">
        <v>7</v>
      </c>
      <c r="E27" s="141">
        <v>0</v>
      </c>
      <c r="F27" s="143">
        <v>0</v>
      </c>
      <c r="G27" s="143">
        <v>0</v>
      </c>
      <c r="H27" s="143">
        <v>0.04</v>
      </c>
      <c r="I27" s="143">
        <v>0</v>
      </c>
    </row>
    <row r="28" spans="1:9">
      <c r="A28" s="166" t="s">
        <v>1057</v>
      </c>
      <c r="B28" s="141">
        <v>8</v>
      </c>
      <c r="C28" s="141">
        <v>0</v>
      </c>
      <c r="D28" s="141">
        <v>8</v>
      </c>
      <c r="E28" s="141">
        <v>0</v>
      </c>
      <c r="F28" s="143">
        <v>0</v>
      </c>
      <c r="G28" s="143">
        <v>0</v>
      </c>
      <c r="H28" s="143">
        <v>0.05</v>
      </c>
      <c r="I28" s="143">
        <v>0</v>
      </c>
    </row>
    <row r="29" spans="1:9">
      <c r="A29" s="165" t="s">
        <v>296</v>
      </c>
      <c r="B29" s="141">
        <v>67</v>
      </c>
      <c r="C29" s="141">
        <v>25</v>
      </c>
      <c r="D29" s="141">
        <v>67</v>
      </c>
      <c r="E29" s="141">
        <v>25</v>
      </c>
      <c r="F29" s="143">
        <v>168</v>
      </c>
      <c r="G29" s="143">
        <v>168</v>
      </c>
      <c r="H29" s="143">
        <v>0.39</v>
      </c>
      <c r="I29" s="143">
        <v>0.17</v>
      </c>
    </row>
    <row r="30" spans="1:9">
      <c r="A30" s="166" t="s">
        <v>250</v>
      </c>
      <c r="B30" s="141">
        <v>67</v>
      </c>
      <c r="C30" s="141">
        <v>25</v>
      </c>
      <c r="D30" s="141">
        <v>67</v>
      </c>
      <c r="E30" s="141">
        <v>25</v>
      </c>
      <c r="F30" s="143">
        <v>168</v>
      </c>
      <c r="G30" s="143">
        <v>168</v>
      </c>
      <c r="H30" s="143">
        <v>0.39</v>
      </c>
      <c r="I30" s="143">
        <v>0.17</v>
      </c>
    </row>
    <row r="31" spans="1:9">
      <c r="A31" s="165" t="s">
        <v>431</v>
      </c>
      <c r="B31" s="141">
        <v>242</v>
      </c>
      <c r="C31" s="141">
        <v>249</v>
      </c>
      <c r="D31" s="141">
        <v>242</v>
      </c>
      <c r="E31" s="141">
        <v>249</v>
      </c>
      <c r="F31" s="143">
        <v>-2.8112449799196786</v>
      </c>
      <c r="G31" s="143">
        <v>-2.8112449799196786</v>
      </c>
      <c r="H31" s="143">
        <v>1.41</v>
      </c>
      <c r="I31" s="143">
        <v>1.71</v>
      </c>
    </row>
    <row r="32" spans="1:9">
      <c r="A32" s="166" t="s">
        <v>251</v>
      </c>
      <c r="B32" s="141">
        <v>242</v>
      </c>
      <c r="C32" s="141">
        <v>249</v>
      </c>
      <c r="D32" s="141">
        <v>242</v>
      </c>
      <c r="E32" s="141">
        <v>249</v>
      </c>
      <c r="F32" s="143">
        <v>-2.8112449799196786</v>
      </c>
      <c r="G32" s="143">
        <v>-2.8112449799196786</v>
      </c>
      <c r="H32" s="143">
        <v>1.41</v>
      </c>
      <c r="I32" s="143">
        <v>1.71</v>
      </c>
    </row>
    <row r="33" spans="1:9">
      <c r="A33" s="165" t="s">
        <v>948</v>
      </c>
      <c r="B33" s="141">
        <v>377</v>
      </c>
      <c r="C33" s="141">
        <v>143</v>
      </c>
      <c r="D33" s="141">
        <v>377</v>
      </c>
      <c r="E33" s="141">
        <v>143</v>
      </c>
      <c r="F33" s="143">
        <v>163.63636363636365</v>
      </c>
      <c r="G33" s="143">
        <v>163.63636363636365</v>
      </c>
      <c r="H33" s="143">
        <v>2.1999999999999997</v>
      </c>
      <c r="I33" s="143">
        <v>0.98</v>
      </c>
    </row>
    <row r="34" spans="1:9">
      <c r="A34" s="166" t="s">
        <v>270</v>
      </c>
      <c r="B34" s="141">
        <v>348</v>
      </c>
      <c r="C34" s="141">
        <v>133</v>
      </c>
      <c r="D34" s="141">
        <v>348</v>
      </c>
      <c r="E34" s="141">
        <v>133</v>
      </c>
      <c r="F34" s="143">
        <v>161.65413533834587</v>
      </c>
      <c r="G34" s="143">
        <v>161.65413533834587</v>
      </c>
      <c r="H34" s="143">
        <v>2.0299999999999998</v>
      </c>
      <c r="I34" s="143">
        <v>0.91</v>
      </c>
    </row>
    <row r="35" spans="1:9">
      <c r="A35" s="166" t="s">
        <v>961</v>
      </c>
      <c r="B35" s="141">
        <v>29</v>
      </c>
      <c r="C35" s="141">
        <v>10</v>
      </c>
      <c r="D35" s="141">
        <v>29</v>
      </c>
      <c r="E35" s="141">
        <v>10</v>
      </c>
      <c r="F35" s="143">
        <v>190</v>
      </c>
      <c r="G35" s="143">
        <v>190</v>
      </c>
      <c r="H35" s="143">
        <v>0.17</v>
      </c>
      <c r="I35" s="143">
        <v>7.0000000000000007E-2</v>
      </c>
    </row>
    <row r="36" spans="1:9">
      <c r="A36" s="165" t="s">
        <v>252</v>
      </c>
      <c r="B36" s="141">
        <v>0</v>
      </c>
      <c r="C36" s="141">
        <v>1</v>
      </c>
      <c r="D36" s="141">
        <v>0</v>
      </c>
      <c r="E36" s="141">
        <v>1</v>
      </c>
      <c r="F36" s="143">
        <v>-100</v>
      </c>
      <c r="G36" s="143">
        <v>-100</v>
      </c>
      <c r="H36" s="143">
        <v>0</v>
      </c>
      <c r="I36" s="143">
        <v>0.01</v>
      </c>
    </row>
    <row r="37" spans="1:9">
      <c r="A37" s="166" t="s">
        <v>252</v>
      </c>
      <c r="B37" s="141">
        <v>0</v>
      </c>
      <c r="C37" s="141">
        <v>1</v>
      </c>
      <c r="D37" s="141">
        <v>0</v>
      </c>
      <c r="E37" s="141">
        <v>1</v>
      </c>
      <c r="F37" s="143">
        <v>-100</v>
      </c>
      <c r="G37" s="143">
        <v>-100</v>
      </c>
      <c r="H37" s="143">
        <v>0</v>
      </c>
      <c r="I37" s="143">
        <v>0.01</v>
      </c>
    </row>
    <row r="38" spans="1:9">
      <c r="A38" s="165" t="s">
        <v>1100</v>
      </c>
      <c r="B38" s="141">
        <v>1172</v>
      </c>
      <c r="C38" s="141">
        <v>1479</v>
      </c>
      <c r="D38" s="141">
        <v>1172</v>
      </c>
      <c r="E38" s="141">
        <v>1479</v>
      </c>
      <c r="F38" s="143">
        <v>-20.757268424611226</v>
      </c>
      <c r="G38" s="143">
        <v>-20.757268424611226</v>
      </c>
      <c r="H38" s="143">
        <v>6.83</v>
      </c>
      <c r="I38" s="143">
        <v>10.130000000000001</v>
      </c>
    </row>
    <row r="39" spans="1:9">
      <c r="A39" s="166" t="s">
        <v>254</v>
      </c>
      <c r="B39" s="141">
        <v>1172</v>
      </c>
      <c r="C39" s="141">
        <v>1479</v>
      </c>
      <c r="D39" s="141">
        <v>1172</v>
      </c>
      <c r="E39" s="141">
        <v>1479</v>
      </c>
      <c r="F39" s="143">
        <v>-20.757268424611226</v>
      </c>
      <c r="G39" s="143">
        <v>-20.757268424611226</v>
      </c>
      <c r="H39" s="143">
        <v>6.83</v>
      </c>
      <c r="I39" s="143">
        <v>10.130000000000001</v>
      </c>
    </row>
    <row r="40" spans="1:9">
      <c r="A40" s="165" t="s">
        <v>430</v>
      </c>
      <c r="B40" s="141">
        <v>834</v>
      </c>
      <c r="C40" s="141">
        <v>683</v>
      </c>
      <c r="D40" s="141">
        <v>834</v>
      </c>
      <c r="E40" s="141">
        <v>683</v>
      </c>
      <c r="F40" s="143">
        <v>22.108345534407029</v>
      </c>
      <c r="G40" s="143">
        <v>22.108345534407029</v>
      </c>
      <c r="H40" s="143">
        <v>4.8600000000000003</v>
      </c>
      <c r="I40" s="143">
        <v>4.68</v>
      </c>
    </row>
    <row r="41" spans="1:9">
      <c r="A41" s="166" t="s">
        <v>246</v>
      </c>
      <c r="B41" s="141">
        <v>134</v>
      </c>
      <c r="C41" s="141">
        <v>122</v>
      </c>
      <c r="D41" s="141">
        <v>134</v>
      </c>
      <c r="E41" s="141">
        <v>122</v>
      </c>
      <c r="F41" s="143">
        <v>9.8360655737704921</v>
      </c>
      <c r="G41" s="143">
        <v>9.8360655737704921</v>
      </c>
      <c r="H41" s="143">
        <v>0.78</v>
      </c>
      <c r="I41" s="143">
        <v>0.84</v>
      </c>
    </row>
    <row r="42" spans="1:9">
      <c r="A42" s="166" t="s">
        <v>277</v>
      </c>
      <c r="B42" s="141">
        <v>3</v>
      </c>
      <c r="C42" s="141">
        <v>26</v>
      </c>
      <c r="D42" s="141">
        <v>3</v>
      </c>
      <c r="E42" s="141">
        <v>26</v>
      </c>
      <c r="F42" s="143">
        <v>-88.461538461538453</v>
      </c>
      <c r="G42" s="143">
        <v>-88.461538461538453</v>
      </c>
      <c r="H42" s="143">
        <v>0.02</v>
      </c>
      <c r="I42" s="143">
        <v>0.18</v>
      </c>
    </row>
    <row r="43" spans="1:9">
      <c r="A43" s="166" t="s">
        <v>264</v>
      </c>
      <c r="B43" s="141">
        <v>187</v>
      </c>
      <c r="C43" s="141">
        <v>101</v>
      </c>
      <c r="D43" s="141">
        <v>187</v>
      </c>
      <c r="E43" s="141">
        <v>101</v>
      </c>
      <c r="F43" s="143">
        <v>85.148514851485146</v>
      </c>
      <c r="G43" s="143">
        <v>85.148514851485146</v>
      </c>
      <c r="H43" s="143">
        <v>1.0900000000000001</v>
      </c>
      <c r="I43" s="143">
        <v>0.69</v>
      </c>
    </row>
    <row r="44" spans="1:9">
      <c r="A44" s="166" t="s">
        <v>265</v>
      </c>
      <c r="B44" s="141">
        <v>510</v>
      </c>
      <c r="C44" s="141">
        <v>434</v>
      </c>
      <c r="D44" s="141">
        <v>510</v>
      </c>
      <c r="E44" s="141">
        <v>434</v>
      </c>
      <c r="F44" s="143">
        <v>17.511520737327189</v>
      </c>
      <c r="G44" s="143">
        <v>17.511520737327189</v>
      </c>
      <c r="H44" s="143">
        <v>2.97</v>
      </c>
      <c r="I44" s="143">
        <v>2.97</v>
      </c>
    </row>
    <row r="45" spans="1:9">
      <c r="A45" s="165" t="s">
        <v>578</v>
      </c>
      <c r="B45" s="141">
        <v>58</v>
      </c>
      <c r="C45" s="141">
        <v>43</v>
      </c>
      <c r="D45" s="141">
        <v>58</v>
      </c>
      <c r="E45" s="141">
        <v>43</v>
      </c>
      <c r="F45" s="143">
        <v>34.883720930232556</v>
      </c>
      <c r="G45" s="143">
        <v>34.883720930232556</v>
      </c>
      <c r="H45" s="143">
        <v>0.34</v>
      </c>
      <c r="I45" s="143">
        <v>0.28999999999999998</v>
      </c>
    </row>
    <row r="46" spans="1:9">
      <c r="A46" s="166" t="s">
        <v>262</v>
      </c>
      <c r="B46" s="141">
        <v>58</v>
      </c>
      <c r="C46" s="141">
        <v>43</v>
      </c>
      <c r="D46" s="141">
        <v>58</v>
      </c>
      <c r="E46" s="141">
        <v>43</v>
      </c>
      <c r="F46" s="143">
        <v>34.883720930232556</v>
      </c>
      <c r="G46" s="143">
        <v>34.883720930232556</v>
      </c>
      <c r="H46" s="143">
        <v>0.34</v>
      </c>
      <c r="I46" s="143">
        <v>0.28999999999999998</v>
      </c>
    </row>
    <row r="47" spans="1:9">
      <c r="A47" s="165" t="s">
        <v>1101</v>
      </c>
      <c r="B47" s="141">
        <v>2</v>
      </c>
      <c r="C47" s="141">
        <v>0</v>
      </c>
      <c r="D47" s="141">
        <v>2</v>
      </c>
      <c r="E47" s="141">
        <v>0</v>
      </c>
      <c r="F47" s="143">
        <v>0</v>
      </c>
      <c r="G47" s="143">
        <v>0</v>
      </c>
      <c r="H47" s="143">
        <v>0.01</v>
      </c>
      <c r="I47" s="143">
        <v>0</v>
      </c>
    </row>
    <row r="48" spans="1:9">
      <c r="A48" s="166" t="s">
        <v>276</v>
      </c>
      <c r="B48" s="141">
        <v>2</v>
      </c>
      <c r="C48" s="141">
        <v>0</v>
      </c>
      <c r="D48" s="141">
        <v>2</v>
      </c>
      <c r="E48" s="141">
        <v>0</v>
      </c>
      <c r="F48" s="143">
        <v>0</v>
      </c>
      <c r="G48" s="143">
        <v>0</v>
      </c>
      <c r="H48" s="143">
        <v>0.01</v>
      </c>
      <c r="I48" s="143">
        <v>0</v>
      </c>
    </row>
    <row r="49" spans="1:9">
      <c r="A49" s="165" t="s">
        <v>297</v>
      </c>
      <c r="B49" s="141">
        <v>84</v>
      </c>
      <c r="C49" s="141">
        <v>70</v>
      </c>
      <c r="D49" s="141">
        <v>84</v>
      </c>
      <c r="E49" s="141">
        <v>70</v>
      </c>
      <c r="F49" s="143">
        <v>20</v>
      </c>
      <c r="G49" s="143">
        <v>20</v>
      </c>
      <c r="H49" s="143">
        <v>0.49</v>
      </c>
      <c r="I49" s="143">
        <v>0.48</v>
      </c>
    </row>
    <row r="50" spans="1:9">
      <c r="A50" s="166" t="s">
        <v>271</v>
      </c>
      <c r="B50" s="141">
        <v>84</v>
      </c>
      <c r="C50" s="141">
        <v>70</v>
      </c>
      <c r="D50" s="141">
        <v>84</v>
      </c>
      <c r="E50" s="141">
        <v>70</v>
      </c>
      <c r="F50" s="143">
        <v>20</v>
      </c>
      <c r="G50" s="143">
        <v>20</v>
      </c>
      <c r="H50" s="143">
        <v>0.49</v>
      </c>
      <c r="I50" s="143">
        <v>0.48</v>
      </c>
    </row>
    <row r="51" spans="1:9">
      <c r="A51" s="165" t="s">
        <v>532</v>
      </c>
      <c r="B51" s="141">
        <v>45</v>
      </c>
      <c r="C51" s="141">
        <v>126</v>
      </c>
      <c r="D51" s="141">
        <v>45</v>
      </c>
      <c r="E51" s="141">
        <v>126</v>
      </c>
      <c r="F51" s="143">
        <v>-64.285714285714292</v>
      </c>
      <c r="G51" s="143">
        <v>-64.285714285714292</v>
      </c>
      <c r="H51" s="143">
        <v>0.26</v>
      </c>
      <c r="I51" s="143">
        <v>0.86</v>
      </c>
    </row>
    <row r="52" spans="1:9">
      <c r="A52" s="166" t="s">
        <v>532</v>
      </c>
      <c r="B52" s="141">
        <v>45</v>
      </c>
      <c r="C52" s="141">
        <v>126</v>
      </c>
      <c r="D52" s="141">
        <v>45</v>
      </c>
      <c r="E52" s="141">
        <v>126</v>
      </c>
      <c r="F52" s="143">
        <v>-64.285714285714292</v>
      </c>
      <c r="G52" s="143">
        <v>-64.285714285714292</v>
      </c>
      <c r="H52" s="143">
        <v>0.26</v>
      </c>
      <c r="I52" s="143">
        <v>0.86</v>
      </c>
    </row>
    <row r="53" spans="1:9">
      <c r="A53" s="165" t="s">
        <v>298</v>
      </c>
      <c r="B53" s="141">
        <v>162</v>
      </c>
      <c r="C53" s="141">
        <v>343</v>
      </c>
      <c r="D53" s="141">
        <v>162</v>
      </c>
      <c r="E53" s="141">
        <v>343</v>
      </c>
      <c r="F53" s="143">
        <v>-52.76967930029155</v>
      </c>
      <c r="G53" s="143">
        <v>-52.76967930029155</v>
      </c>
      <c r="H53" s="143">
        <v>0.94</v>
      </c>
      <c r="I53" s="143">
        <v>2.35</v>
      </c>
    </row>
    <row r="54" spans="1:9">
      <c r="A54" s="166" t="s">
        <v>259</v>
      </c>
      <c r="B54" s="141">
        <v>162</v>
      </c>
      <c r="C54" s="141">
        <v>343</v>
      </c>
      <c r="D54" s="141">
        <v>162</v>
      </c>
      <c r="E54" s="141">
        <v>343</v>
      </c>
      <c r="F54" s="143">
        <v>-52.76967930029155</v>
      </c>
      <c r="G54" s="143">
        <v>-52.76967930029155</v>
      </c>
      <c r="H54" s="143">
        <v>0.94</v>
      </c>
      <c r="I54" s="143">
        <v>2.35</v>
      </c>
    </row>
    <row r="55" spans="1:9">
      <c r="A55" s="165" t="s">
        <v>331</v>
      </c>
      <c r="B55" s="141">
        <v>1082</v>
      </c>
      <c r="C55" s="141">
        <v>622</v>
      </c>
      <c r="D55" s="141">
        <v>1082</v>
      </c>
      <c r="E55" s="141">
        <v>622</v>
      </c>
      <c r="F55" s="143">
        <v>73.954983922829584</v>
      </c>
      <c r="G55" s="143">
        <v>73.954983922829584</v>
      </c>
      <c r="H55" s="143">
        <v>6.3</v>
      </c>
      <c r="I55" s="143">
        <v>4.2600000000000007</v>
      </c>
    </row>
    <row r="56" spans="1:9">
      <c r="A56" s="166" t="s">
        <v>357</v>
      </c>
      <c r="B56" s="141">
        <v>1080</v>
      </c>
      <c r="C56" s="141">
        <v>617</v>
      </c>
      <c r="D56" s="141">
        <v>1080</v>
      </c>
      <c r="E56" s="141">
        <v>617</v>
      </c>
      <c r="F56" s="143">
        <v>75.040518638573744</v>
      </c>
      <c r="G56" s="143">
        <v>75.040518638573744</v>
      </c>
      <c r="H56" s="143">
        <v>6.29</v>
      </c>
      <c r="I56" s="143">
        <v>4.2300000000000004</v>
      </c>
    </row>
    <row r="57" spans="1:9">
      <c r="A57" s="166" t="s">
        <v>260</v>
      </c>
      <c r="B57" s="141">
        <v>2</v>
      </c>
      <c r="C57" s="141">
        <v>5</v>
      </c>
      <c r="D57" s="141">
        <v>2</v>
      </c>
      <c r="E57" s="141">
        <v>5</v>
      </c>
      <c r="F57" s="143">
        <v>-60</v>
      </c>
      <c r="G57" s="143">
        <v>-60</v>
      </c>
      <c r="H57" s="143">
        <v>0.01</v>
      </c>
      <c r="I57" s="143">
        <v>0.03</v>
      </c>
    </row>
    <row r="58" spans="1:9">
      <c r="A58" s="165" t="s">
        <v>985</v>
      </c>
      <c r="B58" s="141">
        <v>3</v>
      </c>
      <c r="C58" s="141">
        <v>1</v>
      </c>
      <c r="D58" s="141">
        <v>3</v>
      </c>
      <c r="E58" s="141">
        <v>1</v>
      </c>
      <c r="F58" s="143">
        <v>200</v>
      </c>
      <c r="G58" s="143">
        <v>200</v>
      </c>
      <c r="H58" s="143">
        <v>0.02</v>
      </c>
      <c r="I58" s="143">
        <v>0.01</v>
      </c>
    </row>
    <row r="59" spans="1:9">
      <c r="A59" s="166" t="s">
        <v>983</v>
      </c>
      <c r="B59" s="141">
        <v>3</v>
      </c>
      <c r="C59" s="141">
        <v>1</v>
      </c>
      <c r="D59" s="141">
        <v>3</v>
      </c>
      <c r="E59" s="141">
        <v>1</v>
      </c>
      <c r="F59" s="143">
        <v>200</v>
      </c>
      <c r="G59" s="143">
        <v>200</v>
      </c>
      <c r="H59" s="143">
        <v>0.02</v>
      </c>
      <c r="I59" s="143">
        <v>0.01</v>
      </c>
    </row>
    <row r="60" spans="1:9">
      <c r="A60" s="165" t="s">
        <v>299</v>
      </c>
      <c r="B60" s="141">
        <v>347</v>
      </c>
      <c r="C60" s="141">
        <v>196</v>
      </c>
      <c r="D60" s="141">
        <v>347</v>
      </c>
      <c r="E60" s="141">
        <v>196</v>
      </c>
      <c r="F60" s="143">
        <v>77.040816326530617</v>
      </c>
      <c r="G60" s="143">
        <v>77.040816326530617</v>
      </c>
      <c r="H60" s="143">
        <v>2.02</v>
      </c>
      <c r="I60" s="143">
        <v>1.34</v>
      </c>
    </row>
    <row r="61" spans="1:9">
      <c r="A61" s="166" t="s">
        <v>263</v>
      </c>
      <c r="B61" s="141">
        <v>347</v>
      </c>
      <c r="C61" s="141">
        <v>196</v>
      </c>
      <c r="D61" s="141">
        <v>347</v>
      </c>
      <c r="E61" s="141">
        <v>196</v>
      </c>
      <c r="F61" s="143">
        <v>77.040816326530617</v>
      </c>
      <c r="G61" s="143">
        <v>77.040816326530617</v>
      </c>
      <c r="H61" s="143">
        <v>2.02</v>
      </c>
      <c r="I61" s="143">
        <v>1.34</v>
      </c>
    </row>
    <row r="62" spans="1:9">
      <c r="A62" s="165" t="s">
        <v>382</v>
      </c>
      <c r="B62" s="141">
        <v>232</v>
      </c>
      <c r="C62" s="141">
        <v>97</v>
      </c>
      <c r="D62" s="141">
        <v>232</v>
      </c>
      <c r="E62" s="141">
        <v>97</v>
      </c>
      <c r="F62" s="143">
        <v>139.17525773195877</v>
      </c>
      <c r="G62" s="143">
        <v>139.17525773195877</v>
      </c>
      <c r="H62" s="143">
        <v>1.35</v>
      </c>
      <c r="I62" s="143">
        <v>0.66</v>
      </c>
    </row>
    <row r="63" spans="1:9">
      <c r="A63" s="166" t="s">
        <v>303</v>
      </c>
      <c r="B63" s="141">
        <v>232</v>
      </c>
      <c r="C63" s="141">
        <v>97</v>
      </c>
      <c r="D63" s="141">
        <v>232</v>
      </c>
      <c r="E63" s="141">
        <v>97</v>
      </c>
      <c r="F63" s="143">
        <v>139.17525773195877</v>
      </c>
      <c r="G63" s="143">
        <v>139.17525773195877</v>
      </c>
      <c r="H63" s="143">
        <v>1.35</v>
      </c>
      <c r="I63" s="143">
        <v>0.66</v>
      </c>
    </row>
    <row r="64" spans="1:9">
      <c r="A64" s="165" t="s">
        <v>410</v>
      </c>
      <c r="B64" s="141">
        <v>5</v>
      </c>
      <c r="C64" s="141">
        <v>6</v>
      </c>
      <c r="D64" s="141">
        <v>5</v>
      </c>
      <c r="E64" s="141">
        <v>6</v>
      </c>
      <c r="F64" s="143">
        <v>-16.666666666666664</v>
      </c>
      <c r="G64" s="143">
        <v>-16.666666666666664</v>
      </c>
      <c r="H64" s="143">
        <v>0.03</v>
      </c>
      <c r="I64" s="143">
        <v>0.04</v>
      </c>
    </row>
    <row r="65" spans="1:9">
      <c r="A65" s="166" t="s">
        <v>390</v>
      </c>
      <c r="B65" s="141">
        <v>2</v>
      </c>
      <c r="C65" s="141">
        <v>6</v>
      </c>
      <c r="D65" s="141">
        <v>2</v>
      </c>
      <c r="E65" s="141">
        <v>6</v>
      </c>
      <c r="F65" s="143">
        <v>-66.666666666666657</v>
      </c>
      <c r="G65" s="143">
        <v>-66.666666666666657</v>
      </c>
      <c r="H65" s="143">
        <v>0.01</v>
      </c>
      <c r="I65" s="143">
        <v>0.04</v>
      </c>
    </row>
    <row r="66" spans="1:9">
      <c r="A66" s="166" t="s">
        <v>1073</v>
      </c>
      <c r="B66" s="141">
        <v>3</v>
      </c>
      <c r="C66" s="141">
        <v>0</v>
      </c>
      <c r="D66" s="141">
        <v>3</v>
      </c>
      <c r="E66" s="141">
        <v>0</v>
      </c>
      <c r="F66" s="143">
        <v>0</v>
      </c>
      <c r="G66" s="143">
        <v>0</v>
      </c>
      <c r="H66" s="143">
        <v>0.02</v>
      </c>
      <c r="I66" s="143">
        <v>0</v>
      </c>
    </row>
    <row r="67" spans="1:9">
      <c r="A67" s="165" t="s">
        <v>533</v>
      </c>
      <c r="B67" s="141">
        <v>730</v>
      </c>
      <c r="C67" s="141">
        <v>225</v>
      </c>
      <c r="D67" s="141">
        <v>730</v>
      </c>
      <c r="E67" s="141">
        <v>225</v>
      </c>
      <c r="F67" s="143">
        <v>224.44444444444446</v>
      </c>
      <c r="G67" s="143">
        <v>224.44444444444446</v>
      </c>
      <c r="H67" s="143">
        <v>4.25</v>
      </c>
      <c r="I67" s="143">
        <v>1.54</v>
      </c>
    </row>
    <row r="68" spans="1:9">
      <c r="A68" s="166" t="s">
        <v>272</v>
      </c>
      <c r="B68" s="141">
        <v>730</v>
      </c>
      <c r="C68" s="141">
        <v>225</v>
      </c>
      <c r="D68" s="141">
        <v>730</v>
      </c>
      <c r="E68" s="141">
        <v>225</v>
      </c>
      <c r="F68" s="143">
        <v>224.44444444444446</v>
      </c>
      <c r="G68" s="143">
        <v>224.44444444444446</v>
      </c>
      <c r="H68" s="143">
        <v>4.25</v>
      </c>
      <c r="I68" s="143">
        <v>1.54</v>
      </c>
    </row>
    <row r="69" spans="1:9">
      <c r="A69" s="165" t="s">
        <v>300</v>
      </c>
      <c r="B69" s="141">
        <v>1921</v>
      </c>
      <c r="C69" s="141">
        <v>1582</v>
      </c>
      <c r="D69" s="141">
        <v>1921</v>
      </c>
      <c r="E69" s="141">
        <v>1582</v>
      </c>
      <c r="F69" s="143">
        <v>21.428571428571427</v>
      </c>
      <c r="G69" s="143">
        <v>21.428571428571427</v>
      </c>
      <c r="H69" s="143">
        <v>11.200000000000001</v>
      </c>
      <c r="I69" s="143">
        <v>10.84</v>
      </c>
    </row>
    <row r="70" spans="1:9">
      <c r="A70" s="166" t="s">
        <v>257</v>
      </c>
      <c r="B70" s="141">
        <v>212</v>
      </c>
      <c r="C70" s="141">
        <v>143</v>
      </c>
      <c r="D70" s="141">
        <v>212</v>
      </c>
      <c r="E70" s="141">
        <v>143</v>
      </c>
      <c r="F70" s="143">
        <v>48.251748251748253</v>
      </c>
      <c r="G70" s="143">
        <v>48.251748251748253</v>
      </c>
      <c r="H70" s="143">
        <v>1.24</v>
      </c>
      <c r="I70" s="143">
        <v>0.98</v>
      </c>
    </row>
    <row r="71" spans="1:9">
      <c r="A71" s="166" t="s">
        <v>273</v>
      </c>
      <c r="B71" s="141">
        <v>1709</v>
      </c>
      <c r="C71" s="141">
        <v>1439</v>
      </c>
      <c r="D71" s="141">
        <v>1709</v>
      </c>
      <c r="E71" s="141">
        <v>1439</v>
      </c>
      <c r="F71" s="143">
        <v>18.763029881862405</v>
      </c>
      <c r="G71" s="143">
        <v>18.763029881862405</v>
      </c>
      <c r="H71" s="143">
        <v>9.9600000000000009</v>
      </c>
      <c r="I71" s="143">
        <v>9.86</v>
      </c>
    </row>
    <row r="72" spans="1:9">
      <c r="A72" s="165" t="s">
        <v>301</v>
      </c>
      <c r="B72" s="141">
        <v>4307</v>
      </c>
      <c r="C72" s="141">
        <v>3345</v>
      </c>
      <c r="D72" s="141">
        <v>4307</v>
      </c>
      <c r="E72" s="141">
        <v>3345</v>
      </c>
      <c r="F72" s="143">
        <v>28.759342301943196</v>
      </c>
      <c r="G72" s="143">
        <v>28.759342301943196</v>
      </c>
      <c r="H72" s="143">
        <v>25.1</v>
      </c>
      <c r="I72" s="143">
        <v>22.9</v>
      </c>
    </row>
    <row r="73" spans="1:9">
      <c r="A73" s="166" t="s">
        <v>242</v>
      </c>
      <c r="B73" s="141">
        <v>1106</v>
      </c>
      <c r="C73" s="141">
        <v>900</v>
      </c>
      <c r="D73" s="141">
        <v>1106</v>
      </c>
      <c r="E73" s="141">
        <v>900</v>
      </c>
      <c r="F73" s="143">
        <v>22.888888888888889</v>
      </c>
      <c r="G73" s="143">
        <v>22.888888888888889</v>
      </c>
      <c r="H73" s="143">
        <v>6.44</v>
      </c>
      <c r="I73" s="143">
        <v>6.16</v>
      </c>
    </row>
    <row r="74" spans="1:9">
      <c r="A74" s="166" t="s">
        <v>266</v>
      </c>
      <c r="B74" s="141">
        <v>226</v>
      </c>
      <c r="C74" s="141">
        <v>260</v>
      </c>
      <c r="D74" s="141">
        <v>226</v>
      </c>
      <c r="E74" s="141">
        <v>260</v>
      </c>
      <c r="F74" s="143">
        <v>-13.076923076923078</v>
      </c>
      <c r="G74" s="143">
        <v>-13.076923076923078</v>
      </c>
      <c r="H74" s="143">
        <v>1.32</v>
      </c>
      <c r="I74" s="143">
        <v>1.78</v>
      </c>
    </row>
    <row r="75" spans="1:9">
      <c r="A75" s="166" t="s">
        <v>268</v>
      </c>
      <c r="B75" s="141">
        <v>146</v>
      </c>
      <c r="C75" s="141">
        <v>190</v>
      </c>
      <c r="D75" s="141">
        <v>146</v>
      </c>
      <c r="E75" s="141">
        <v>190</v>
      </c>
      <c r="F75" s="143">
        <v>-23.157894736842106</v>
      </c>
      <c r="G75" s="143">
        <v>-23.157894736842106</v>
      </c>
      <c r="H75" s="143">
        <v>0.85</v>
      </c>
      <c r="I75" s="143">
        <v>1.3</v>
      </c>
    </row>
    <row r="76" spans="1:9">
      <c r="A76" s="166" t="s">
        <v>269</v>
      </c>
      <c r="B76" s="141">
        <v>676</v>
      </c>
      <c r="C76" s="141">
        <v>565</v>
      </c>
      <c r="D76" s="141">
        <v>676</v>
      </c>
      <c r="E76" s="141">
        <v>565</v>
      </c>
      <c r="F76" s="143">
        <v>19.646017699115045</v>
      </c>
      <c r="G76" s="143">
        <v>19.646017699115045</v>
      </c>
      <c r="H76" s="143">
        <v>3.94</v>
      </c>
      <c r="I76" s="143">
        <v>3.87</v>
      </c>
    </row>
    <row r="77" spans="1:9">
      <c r="A77" s="166" t="s">
        <v>274</v>
      </c>
      <c r="B77" s="141">
        <v>1999</v>
      </c>
      <c r="C77" s="141">
        <v>1389</v>
      </c>
      <c r="D77" s="141">
        <v>1999</v>
      </c>
      <c r="E77" s="141">
        <v>1389</v>
      </c>
      <c r="F77" s="143">
        <v>43.916486681065514</v>
      </c>
      <c r="G77" s="143">
        <v>43.916486681065514</v>
      </c>
      <c r="H77" s="143">
        <v>11.65</v>
      </c>
      <c r="I77" s="143">
        <v>9.51</v>
      </c>
    </row>
    <row r="78" spans="1:9">
      <c r="A78" s="166" t="s">
        <v>982</v>
      </c>
      <c r="B78" s="141">
        <v>154</v>
      </c>
      <c r="C78" s="141">
        <v>41</v>
      </c>
      <c r="D78" s="141">
        <v>154</v>
      </c>
      <c r="E78" s="141">
        <v>41</v>
      </c>
      <c r="F78" s="143">
        <v>275.60975609756093</v>
      </c>
      <c r="G78" s="143">
        <v>275.60975609756093</v>
      </c>
      <c r="H78" s="143">
        <v>0.9</v>
      </c>
      <c r="I78" s="143">
        <v>0.28000000000000003</v>
      </c>
    </row>
    <row r="79" spans="1:9">
      <c r="A79" s="165" t="s">
        <v>302</v>
      </c>
      <c r="B79" s="141">
        <v>3079</v>
      </c>
      <c r="C79" s="141">
        <v>3026</v>
      </c>
      <c r="D79" s="141">
        <v>3079</v>
      </c>
      <c r="E79" s="141">
        <v>3026</v>
      </c>
      <c r="F79" s="143">
        <v>1.7514871116986119</v>
      </c>
      <c r="G79" s="143">
        <v>1.7514871116986119</v>
      </c>
      <c r="H79" s="143">
        <v>17.940000000000001</v>
      </c>
      <c r="I79" s="143">
        <v>20.72</v>
      </c>
    </row>
    <row r="80" spans="1:9">
      <c r="A80" s="166" t="s">
        <v>275</v>
      </c>
      <c r="B80" s="141">
        <v>3079</v>
      </c>
      <c r="C80" s="141">
        <v>3026</v>
      </c>
      <c r="D80" s="141">
        <v>3079</v>
      </c>
      <c r="E80" s="141">
        <v>3026</v>
      </c>
      <c r="F80" s="143">
        <v>1.7514871116986119</v>
      </c>
      <c r="G80" s="143">
        <v>1.7514871116986119</v>
      </c>
      <c r="H80" s="143">
        <v>17.940000000000001</v>
      </c>
      <c r="I80" s="143">
        <v>20.72</v>
      </c>
    </row>
    <row r="81" spans="1:9">
      <c r="A81" s="165" t="s">
        <v>1026</v>
      </c>
      <c r="B81" s="141">
        <v>36</v>
      </c>
      <c r="C81" s="141">
        <v>0</v>
      </c>
      <c r="D81" s="141">
        <v>36</v>
      </c>
      <c r="E81" s="141">
        <v>0</v>
      </c>
      <c r="F81" s="143">
        <v>0</v>
      </c>
      <c r="G81" s="143">
        <v>0</v>
      </c>
      <c r="H81" s="143">
        <v>0.21</v>
      </c>
      <c r="I81" s="143">
        <v>0</v>
      </c>
    </row>
    <row r="82" spans="1:9">
      <c r="A82" s="166" t="s">
        <v>1025</v>
      </c>
      <c r="B82" s="141">
        <v>36</v>
      </c>
      <c r="C82" s="141">
        <v>0</v>
      </c>
      <c r="D82" s="141">
        <v>36</v>
      </c>
      <c r="E82" s="141">
        <v>0</v>
      </c>
      <c r="F82" s="143">
        <v>0</v>
      </c>
      <c r="G82" s="143">
        <v>0</v>
      </c>
      <c r="H82" s="143">
        <v>0.21</v>
      </c>
      <c r="I82" s="143">
        <v>0</v>
      </c>
    </row>
    <row r="83" spans="1:9">
      <c r="A83" s="165" t="s">
        <v>195</v>
      </c>
      <c r="B83" s="141">
        <v>144</v>
      </c>
      <c r="C83" s="141">
        <v>19</v>
      </c>
      <c r="D83" s="141">
        <v>144</v>
      </c>
      <c r="E83" s="141">
        <v>19</v>
      </c>
      <c r="F83" s="143">
        <v>657.8947368421052</v>
      </c>
      <c r="G83" s="143">
        <v>657.8947368421052</v>
      </c>
      <c r="H83" s="143">
        <v>0.84</v>
      </c>
      <c r="I83" s="143">
        <v>0.13</v>
      </c>
    </row>
    <row r="84" spans="1:9">
      <c r="A84" s="166" t="s">
        <v>276</v>
      </c>
      <c r="B84" s="141">
        <v>144</v>
      </c>
      <c r="C84" s="141">
        <v>19</v>
      </c>
      <c r="D84" s="141">
        <v>144</v>
      </c>
      <c r="E84" s="141">
        <v>19</v>
      </c>
      <c r="F84" s="143">
        <v>657.8947368421052</v>
      </c>
      <c r="G84" s="143">
        <v>657.8947368421052</v>
      </c>
      <c r="H84" s="143">
        <v>0.84</v>
      </c>
      <c r="I84" s="143">
        <v>0.13</v>
      </c>
    </row>
    <row r="85" spans="1:9">
      <c r="A85" s="165" t="s">
        <v>425</v>
      </c>
      <c r="B85" s="141">
        <v>17164</v>
      </c>
      <c r="C85" s="141">
        <v>14601</v>
      </c>
      <c r="D85" s="141">
        <v>17164</v>
      </c>
      <c r="E85" s="141">
        <v>14601</v>
      </c>
      <c r="F85" s="143">
        <v>17.553592219710978</v>
      </c>
      <c r="G85" s="143">
        <v>17.553592219710978</v>
      </c>
      <c r="H85" s="143">
        <v>100.02000000000001</v>
      </c>
      <c r="I85" s="143">
        <v>99.99</v>
      </c>
    </row>
    <row r="86" spans="1:9">
      <c r="B86"/>
      <c r="C86"/>
      <c r="D86"/>
      <c r="E86"/>
      <c r="F86"/>
      <c r="G86"/>
      <c r="H86"/>
      <c r="I86"/>
    </row>
    <row r="87" spans="1:9">
      <c r="B87"/>
      <c r="C87"/>
      <c r="D87"/>
      <c r="E87"/>
      <c r="F87"/>
      <c r="G87"/>
      <c r="H87"/>
      <c r="I87"/>
    </row>
    <row r="88" spans="1:9">
      <c r="B88"/>
      <c r="C88"/>
      <c r="D88"/>
      <c r="E88"/>
      <c r="F88"/>
      <c r="G88"/>
      <c r="H88"/>
      <c r="I88"/>
    </row>
    <row r="89" spans="1:9">
      <c r="B89"/>
      <c r="C89"/>
      <c r="D89"/>
      <c r="E89"/>
      <c r="F89"/>
      <c r="G89"/>
      <c r="H89"/>
      <c r="I89"/>
    </row>
    <row r="90" spans="1:9">
      <c r="B90"/>
      <c r="C90"/>
      <c r="D90"/>
      <c r="E90"/>
      <c r="F90"/>
      <c r="G90"/>
      <c r="H90"/>
      <c r="I90"/>
    </row>
    <row r="91" spans="1:9">
      <c r="B91"/>
      <c r="C91"/>
      <c r="D91"/>
      <c r="E91"/>
      <c r="F91"/>
      <c r="G91"/>
      <c r="H91"/>
      <c r="I91"/>
    </row>
    <row r="92" spans="1:9">
      <c r="B92"/>
      <c r="C92"/>
      <c r="D92"/>
      <c r="E92"/>
      <c r="F92"/>
      <c r="G92"/>
      <c r="H92"/>
      <c r="I92"/>
    </row>
    <row r="93" spans="1:9">
      <c r="B93"/>
      <c r="C93"/>
      <c r="D93"/>
      <c r="E93"/>
      <c r="F93"/>
      <c r="G93"/>
      <c r="H93"/>
      <c r="I93"/>
    </row>
    <row r="94" spans="1:9">
      <c r="B94"/>
      <c r="C94"/>
      <c r="D94"/>
      <c r="E94"/>
      <c r="F94"/>
      <c r="G94"/>
      <c r="H94"/>
      <c r="I94"/>
    </row>
    <row r="95" spans="1:9">
      <c r="A95" s="25" t="s">
        <v>620</v>
      </c>
      <c r="C95" s="55"/>
    </row>
    <row r="96" spans="1:9">
      <c r="C96" s="55"/>
      <c r="F96" s="55"/>
    </row>
    <row r="97" spans="1:6">
      <c r="E97" s="55"/>
      <c r="F97" s="55"/>
    </row>
    <row r="98" spans="1:6">
      <c r="A98" s="20" t="s">
        <v>1113</v>
      </c>
      <c r="B98" s="55"/>
      <c r="C98" s="55"/>
      <c r="E98" s="55"/>
      <c r="F98" s="55"/>
    </row>
    <row r="99" spans="1:6">
      <c r="A99" s="55" t="s">
        <v>1114</v>
      </c>
      <c r="B99" s="55" t="s">
        <v>616</v>
      </c>
      <c r="C99" s="55"/>
      <c r="E99" s="55"/>
      <c r="F99" s="55"/>
    </row>
    <row r="100" spans="1:6">
      <c r="A100" s="55" t="s">
        <v>554</v>
      </c>
      <c r="B100" s="55" t="s">
        <v>546</v>
      </c>
    </row>
    <row r="101" spans="1:6">
      <c r="A101" s="55" t="s">
        <v>429</v>
      </c>
      <c r="B101" s="55" t="s">
        <v>968</v>
      </c>
    </row>
    <row r="102" spans="1:6">
      <c r="A102" s="55" t="s">
        <v>641</v>
      </c>
      <c r="B102" s="55" t="s">
        <v>969</v>
      </c>
    </row>
    <row r="103" spans="1:6">
      <c r="A103" s="55" t="s">
        <v>970</v>
      </c>
      <c r="B103" s="55" t="s">
        <v>971</v>
      </c>
    </row>
    <row r="104" spans="1:6">
      <c r="A104" s="55" t="s">
        <v>972</v>
      </c>
      <c r="B104" s="55" t="s">
        <v>973</v>
      </c>
    </row>
    <row r="105" spans="1:6">
      <c r="A105" s="55" t="s">
        <v>1009</v>
      </c>
      <c r="B105" s="55" t="s">
        <v>1010</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K24" sqref="K24"/>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312</v>
      </c>
      <c r="D2" s="56"/>
      <c r="E2" s="56"/>
      <c r="F2" s="56"/>
    </row>
    <row r="3" spans="1:13" ht="14" customHeight="1"/>
    <row r="4" spans="1:13">
      <c r="F4" s="256" t="s">
        <v>423</v>
      </c>
      <c r="G4" s="256"/>
      <c r="H4" s="256"/>
      <c r="I4" s="256"/>
    </row>
    <row r="5" spans="1:13">
      <c r="A5" s="95"/>
      <c r="B5" s="253" t="s">
        <v>500</v>
      </c>
      <c r="C5" s="254"/>
      <c r="D5" s="255" t="s">
        <v>502</v>
      </c>
      <c r="E5" s="254"/>
      <c r="F5" s="253" t="s">
        <v>500</v>
      </c>
      <c r="G5" s="254"/>
      <c r="H5" s="255" t="s">
        <v>502</v>
      </c>
      <c r="I5" s="254"/>
      <c r="J5" s="110" t="s">
        <v>501</v>
      </c>
    </row>
    <row r="6" spans="1:13">
      <c r="A6" s="107" t="s">
        <v>441</v>
      </c>
      <c r="B6" s="108" t="str">
        <f>Innehåll!D79</f>
        <v xml:space="preserve"> 2024-01</v>
      </c>
      <c r="C6" s="108" t="str">
        <f>Innehåll!D80</f>
        <v xml:space="preserve"> 2023-01</v>
      </c>
      <c r="D6" s="108" t="str">
        <f>B6</f>
        <v xml:space="preserve"> 2024-01</v>
      </c>
      <c r="E6" s="109" t="str">
        <f>C6</f>
        <v xml:space="preserve"> 2023-01</v>
      </c>
      <c r="F6" s="108" t="str">
        <f>Innehåll!D81</f>
        <v>YTD  2024</v>
      </c>
      <c r="G6" s="108" t="str">
        <f>Innehåll!D82</f>
        <v>YTD  2023</v>
      </c>
      <c r="H6" s="110" t="str">
        <f>F6</f>
        <v>YTD  2024</v>
      </c>
      <c r="I6" s="111" t="str">
        <f>G6</f>
        <v>YTD  2023</v>
      </c>
      <c r="J6" s="110" t="str">
        <f>Innehåll!D81</f>
        <v>YTD  2024</v>
      </c>
    </row>
    <row r="7" spans="1:13" ht="15.25" hidden="1" customHeight="1">
      <c r="A7" s="67" t="s">
        <v>313</v>
      </c>
      <c r="B7" s="68" t="s">
        <v>26</v>
      </c>
      <c r="C7" s="69" t="s">
        <v>279</v>
      </c>
      <c r="D7" s="25" t="s">
        <v>314</v>
      </c>
      <c r="E7" s="25" t="s">
        <v>315</v>
      </c>
      <c r="F7" s="25" t="s">
        <v>280</v>
      </c>
      <c r="G7" s="25" t="s">
        <v>281</v>
      </c>
      <c r="H7" s="25" t="s">
        <v>316</v>
      </c>
      <c r="I7" s="25" t="s">
        <v>317</v>
      </c>
      <c r="J7" s="58" t="s">
        <v>318</v>
      </c>
    </row>
    <row r="8" spans="1:13">
      <c r="A8" s="41" t="s">
        <v>20</v>
      </c>
      <c r="B8" s="61">
        <v>4936</v>
      </c>
      <c r="C8" s="61">
        <v>4203</v>
      </c>
      <c r="D8" s="58">
        <f>IF(getAggPBFuelTypes[[#This Row],[antalPerioden]]&gt;0,((B8/getAggPBFuelTypes[[#Totals],[antalPerioden]]) * 100),0)</f>
        <v>28.757865299463997</v>
      </c>
      <c r="E8" s="58">
        <f>((C8/getAggPBFuelTypes[[#Totals],[antalPeriodenFG]]) * 100)</f>
        <v>28.785699609615779</v>
      </c>
      <c r="F8" s="61">
        <v>4936</v>
      </c>
      <c r="G8" s="61">
        <v>4203</v>
      </c>
      <c r="H8" s="58">
        <f>((F8/getAggPBFuelTypes[[#Totals],[antalAret]]) * 100)</f>
        <v>28.757865299463997</v>
      </c>
      <c r="I8" s="58">
        <f>((G8/getAggPBFuelTypes[[#Totals],[antalAretFG]]) * 100)</f>
        <v>28.785699609615779</v>
      </c>
      <c r="J8" s="42">
        <f t="shared" ref="J8:J15" si="0">IF(G8 = 0,0,(F8-G8)/G8)</f>
        <v>0.17439923863906734</v>
      </c>
    </row>
    <row r="9" spans="1:13">
      <c r="A9" s="41" t="s">
        <v>19</v>
      </c>
      <c r="B9" s="61">
        <v>4072</v>
      </c>
      <c r="C9" s="61">
        <v>3424</v>
      </c>
      <c r="D9" s="58">
        <f>IF(getAggPBFuelTypes[[#This Row],[antalPerioden]]&gt;0,((B9/getAggPBFuelTypes[[#Totals],[antalPerioden]]) * 100),0)</f>
        <v>23.724073642507573</v>
      </c>
      <c r="E9" s="58">
        <f>((C9/getAggPBFuelTypes[[#Totals],[antalPeriodenFG]]) * 100)</f>
        <v>23.450448599411001</v>
      </c>
      <c r="F9" s="61">
        <v>4072</v>
      </c>
      <c r="G9" s="61">
        <v>3424</v>
      </c>
      <c r="H9" s="58">
        <f>((F9/getAggPBFuelTypes[[#Totals],[antalAret]]) * 100)</f>
        <v>23.724073642507573</v>
      </c>
      <c r="I9" s="58">
        <f>((G9/getAggPBFuelTypes[[#Totals],[antalAretFG]]) * 100)</f>
        <v>23.450448599411001</v>
      </c>
      <c r="J9" s="42">
        <f t="shared" si="0"/>
        <v>0.18925233644859812</v>
      </c>
    </row>
    <row r="10" spans="1:13">
      <c r="A10" s="41" t="s">
        <v>16</v>
      </c>
      <c r="B10" s="61">
        <v>3943</v>
      </c>
      <c r="C10" s="61">
        <v>3443</v>
      </c>
      <c r="D10" s="58">
        <f>IF(getAggPBFuelTypes[[#This Row],[antalPerioden]]&gt;0,((B10/getAggPBFuelTypes[[#Totals],[antalPerioden]]) * 100),0)</f>
        <v>22.972500582614774</v>
      </c>
      <c r="E10" s="58">
        <f>((C10/getAggPBFuelTypes[[#Totals],[antalPeriodenFG]]) * 100)</f>
        <v>23.580576672830627</v>
      </c>
      <c r="F10" s="61">
        <v>3943</v>
      </c>
      <c r="G10" s="61">
        <v>3443</v>
      </c>
      <c r="H10" s="58">
        <f>((F10/getAggPBFuelTypes[[#Totals],[antalAret]]) * 100)</f>
        <v>22.972500582614774</v>
      </c>
      <c r="I10" s="58">
        <f>((G10/getAggPBFuelTypes[[#Totals],[antalAretFG]]) * 100)</f>
        <v>23.580576672830627</v>
      </c>
      <c r="J10" s="42">
        <f t="shared" si="0"/>
        <v>0.14522218995062444</v>
      </c>
    </row>
    <row r="11" spans="1:13">
      <c r="A11" s="41" t="s">
        <v>18</v>
      </c>
      <c r="B11" s="61">
        <v>1819</v>
      </c>
      <c r="C11" s="61">
        <v>1641</v>
      </c>
      <c r="D11" s="58">
        <f>IF(getAggPBFuelTypes[[#This Row],[antalPerioden]]&gt;0,((B11/getAggPBFuelTypes[[#Totals],[antalPerioden]]) * 100),0)</f>
        <v>10.597762759263576</v>
      </c>
      <c r="E11" s="58">
        <f>((C11/getAggPBFuelTypes[[#Totals],[antalPeriodenFG]]) * 100)</f>
        <v>11.238956235874255</v>
      </c>
      <c r="F11" s="61">
        <v>1819</v>
      </c>
      <c r="G11" s="61">
        <v>1641</v>
      </c>
      <c r="H11" s="58">
        <f>((F11/getAggPBFuelTypes[[#Totals],[antalAret]]) * 100)</f>
        <v>10.597762759263576</v>
      </c>
      <c r="I11" s="58">
        <f>((G11/getAggPBFuelTypes[[#Totals],[antalAretFG]]) * 100)</f>
        <v>11.238956235874255</v>
      </c>
      <c r="J11" s="42">
        <f t="shared" si="0"/>
        <v>0.10847044485070079</v>
      </c>
    </row>
    <row r="12" spans="1:13">
      <c r="A12" s="41" t="s">
        <v>17</v>
      </c>
      <c r="B12" s="61">
        <v>1717</v>
      </c>
      <c r="C12" s="61">
        <v>1636</v>
      </c>
      <c r="D12" s="58">
        <f>IF(getAggPBFuelTypes[[#This Row],[antalPerioden]]&gt;0,((B12/getAggPBFuelTypes[[#Totals],[antalPerioden]]) * 100),0)</f>
        <v>10.003495688650665</v>
      </c>
      <c r="E12" s="58">
        <f>((C12/getAggPBFuelTypes[[#Totals],[antalPeriodenFG]]) * 100)</f>
        <v>11.204712006026984</v>
      </c>
      <c r="F12" s="61">
        <v>1717</v>
      </c>
      <c r="G12" s="61">
        <v>1636</v>
      </c>
      <c r="H12" s="58">
        <f>((F12/getAggPBFuelTypes[[#Totals],[antalAret]]) * 100)</f>
        <v>10.003495688650665</v>
      </c>
      <c r="I12" s="58">
        <f>((G12/getAggPBFuelTypes[[#Totals],[antalAretFG]]) * 100)</f>
        <v>11.204712006026984</v>
      </c>
      <c r="J12" s="42">
        <f t="shared" si="0"/>
        <v>4.9511002444987774E-2</v>
      </c>
    </row>
    <row r="13" spans="1:13">
      <c r="A13" s="41" t="s">
        <v>22</v>
      </c>
      <c r="B13" s="61">
        <v>484</v>
      </c>
      <c r="C13" s="61">
        <v>130</v>
      </c>
      <c r="D13" s="58">
        <f>IF(getAggPBFuelTypes[[#This Row],[antalPerioden]]&gt;0,((B13/getAggPBFuelTypes[[#Totals],[antalPerioden]]) * 100),0)</f>
        <v>2.8198555115357729</v>
      </c>
      <c r="E13" s="58">
        <f>((C13/getAggPBFuelTypes[[#Totals],[antalPeriodenFG]]) * 100)</f>
        <v>0.8903499760290392</v>
      </c>
      <c r="F13" s="61">
        <v>484</v>
      </c>
      <c r="G13" s="61">
        <v>130</v>
      </c>
      <c r="H13" s="58">
        <f>((F13/getAggPBFuelTypes[[#Totals],[antalAret]]) * 100)</f>
        <v>2.8198555115357729</v>
      </c>
      <c r="I13" s="58">
        <f>((G13/getAggPBFuelTypes[[#Totals],[antalAretFG]]) * 100)</f>
        <v>0.8903499760290392</v>
      </c>
      <c r="J13" s="42">
        <f t="shared" si="0"/>
        <v>2.7230769230769232</v>
      </c>
    </row>
    <row r="14" spans="1:13">
      <c r="A14" s="70" t="s">
        <v>21</v>
      </c>
      <c r="B14" s="71">
        <v>174</v>
      </c>
      <c r="C14" s="72">
        <v>124</v>
      </c>
      <c r="D14" s="58">
        <f>IF(getAggPBFuelTypes[[#This Row],[antalPerioden]]&gt;0,((B14/getAggPBFuelTypes[[#Totals],[antalPerioden]]) * 100),0)</f>
        <v>1.0137497086926124</v>
      </c>
      <c r="E14" s="58">
        <f>((C14/getAggPBFuelTypes[[#Totals],[antalPeriodenFG]]) * 100)</f>
        <v>0.84925690021231426</v>
      </c>
      <c r="F14" s="61">
        <v>174</v>
      </c>
      <c r="G14" s="61">
        <v>124</v>
      </c>
      <c r="H14" s="58">
        <f>((F14/getAggPBFuelTypes[[#Totals],[antalAret]]) * 100)</f>
        <v>1.0137497086926124</v>
      </c>
      <c r="I14" s="58">
        <f>((G14/getAggPBFuelTypes[[#Totals],[antalAretFG]]) * 100)</f>
        <v>0.84925690021231426</v>
      </c>
      <c r="J14" s="42">
        <f t="shared" si="0"/>
        <v>0.40322580645161288</v>
      </c>
    </row>
    <row r="15" spans="1:13">
      <c r="A15" s="153" t="s">
        <v>1039</v>
      </c>
      <c r="B15" s="145">
        <v>19</v>
      </c>
      <c r="C15" s="145">
        <v>0</v>
      </c>
      <c r="D15" s="146">
        <f>IF(getAggPBFuelTypes[[#This Row],[antalPerioden]]&gt;0,((B15/getAggPBFuelTypes[[#Totals],[antalPerioden]]) * 100),0)</f>
        <v>0.1106968072710324</v>
      </c>
      <c r="E15" s="146">
        <f>((C15/getAggPBFuelTypes[[#Totals],[antalPeriodenFG]]) * 100)</f>
        <v>0</v>
      </c>
      <c r="F15" s="145">
        <v>19</v>
      </c>
      <c r="G15" s="145">
        <v>0</v>
      </c>
      <c r="H15" s="146">
        <f>((F15/getAggPBFuelTypes[[#Totals],[antalAret]]) * 100)</f>
        <v>0.1106968072710324</v>
      </c>
      <c r="I15" s="146">
        <f>((G15/getAggPBFuelTypes[[#Totals],[antalAretFG]]) * 100)</f>
        <v>0</v>
      </c>
      <c r="J15" s="222">
        <f t="shared" si="0"/>
        <v>0</v>
      </c>
      <c r="M15" s="8"/>
    </row>
    <row r="16" spans="1:13">
      <c r="A16" s="138" t="s">
        <v>425</v>
      </c>
      <c r="B16" s="139">
        <f>SUBTOTAL(109,getAggPBFuelTypes[antalPerioden])</f>
        <v>17164</v>
      </c>
      <c r="C16" s="139">
        <f>SUBTOTAL(109,getAggPBFuelTypes[antalPeriodenFG])</f>
        <v>14601</v>
      </c>
      <c r="D16" s="140">
        <f>SUBTOTAL(109,getAggPBFuelTypes[Column1])</f>
        <v>100</v>
      </c>
      <c r="E16" s="140">
        <f>SUBTOTAL(109,getAggPBFuelTypes[Column1])</f>
        <v>100</v>
      </c>
      <c r="F16" s="139">
        <f>SUBTOTAL(109,getAggPBFuelTypes[antalAret])</f>
        <v>17164</v>
      </c>
      <c r="G16" s="139">
        <f>SUBTOTAL(109,getAggPBFuelTypes[antalAretFG])</f>
        <v>14601</v>
      </c>
      <c r="H16" s="140">
        <f>SUBTOTAL(109,getAggPBFuelTypes[Column1])</f>
        <v>100</v>
      </c>
      <c r="I16" s="140">
        <f>SUBTOTAL(109,getAggPBFuelTypes[Column1])</f>
        <v>100</v>
      </c>
      <c r="J16" s="219"/>
      <c r="K16" s="209"/>
      <c r="L16" s="215"/>
    </row>
    <row r="17" spans="1:16">
      <c r="A17" s="25"/>
      <c r="B17" s="25"/>
      <c r="C17" s="25"/>
      <c r="D17" s="273"/>
      <c r="E17" s="58"/>
      <c r="F17" s="25"/>
      <c r="G17" s="25"/>
      <c r="H17" s="58"/>
      <c r="I17" s="58"/>
    </row>
    <row r="18" spans="1:16">
      <c r="A18" s="55" t="s">
        <v>622</v>
      </c>
      <c r="B18" s="25"/>
      <c r="C18" s="25"/>
      <c r="D18" s="25"/>
      <c r="E18" s="25"/>
      <c r="F18" s="25"/>
      <c r="G18" s="25"/>
      <c r="H18" s="60"/>
      <c r="I18" s="25"/>
    </row>
    <row r="19" spans="1:16">
      <c r="A19" s="7" t="s">
        <v>623</v>
      </c>
      <c r="B19" s="25"/>
      <c r="C19" s="25"/>
      <c r="D19" s="25"/>
      <c r="E19" s="25"/>
      <c r="F19" s="25"/>
      <c r="G19" s="25"/>
      <c r="H19" s="60"/>
      <c r="I19" s="25"/>
    </row>
    <row r="20" spans="1:16">
      <c r="A20" s="55" t="s">
        <v>624</v>
      </c>
      <c r="B20" s="25"/>
      <c r="C20" s="25"/>
      <c r="D20" s="25"/>
      <c r="E20" s="25"/>
      <c r="F20" s="25"/>
      <c r="G20" s="25"/>
      <c r="H20" s="60"/>
      <c r="I20" s="25"/>
    </row>
    <row r="21" spans="1:16">
      <c r="A21" s="55" t="s">
        <v>625</v>
      </c>
      <c r="B21" s="25"/>
      <c r="C21" s="25"/>
      <c r="D21" s="25"/>
      <c r="E21" s="25"/>
      <c r="F21" s="25"/>
      <c r="G21" s="25"/>
      <c r="H21" s="60"/>
      <c r="I21" s="25"/>
    </row>
    <row r="22" spans="1:16">
      <c r="A22" s="55" t="s">
        <v>626</v>
      </c>
      <c r="B22" s="25"/>
      <c r="C22" s="25"/>
      <c r="D22" s="25"/>
      <c r="E22" s="25"/>
      <c r="F22" s="25"/>
      <c r="G22" s="25"/>
      <c r="H22" s="60"/>
      <c r="I22" s="25"/>
    </row>
    <row r="23" spans="1:16">
      <c r="A23" s="55" t="s">
        <v>411</v>
      </c>
      <c r="B23" s="25"/>
      <c r="C23" s="25"/>
      <c r="D23" s="25"/>
      <c r="E23" s="25"/>
      <c r="F23" s="25"/>
      <c r="G23" s="25"/>
      <c r="H23" s="60"/>
      <c r="I23" s="25"/>
    </row>
    <row r="28" spans="1:16" ht="20" thickBot="1">
      <c r="L28" s="66" t="s">
        <v>209</v>
      </c>
      <c r="M28" s="66"/>
      <c r="N28" s="66"/>
      <c r="O28" s="66"/>
      <c r="P28" s="112"/>
    </row>
    <row r="29" spans="1:16">
      <c r="L29" s="25"/>
      <c r="M29" s="25"/>
      <c r="N29" s="25"/>
      <c r="O29" s="25"/>
      <c r="P29" s="25"/>
    </row>
    <row r="30" spans="1:16" ht="16" thickBot="1">
      <c r="L30" s="73" t="str">
        <f>Innehåll!D85</f>
        <v>Jan - jan 2024</v>
      </c>
      <c r="M30" s="74" t="s">
        <v>503</v>
      </c>
      <c r="N30" s="25"/>
      <c r="O30" s="25"/>
      <c r="P30" s="25"/>
    </row>
    <row r="31" spans="1:16">
      <c r="L31" s="25"/>
      <c r="M31" s="25"/>
      <c r="N31" s="25"/>
      <c r="O31" s="25"/>
      <c r="P31" s="25"/>
    </row>
    <row r="32" spans="1:16">
      <c r="L32" s="58" t="str">
        <f>A8</f>
        <v>El</v>
      </c>
      <c r="M32" s="58">
        <f t="shared" ref="M32:M38" si="1">INDEX($H$8:$H$16,MATCH(L32,$A$8:$A$16,0))</f>
        <v>28.757865299463997</v>
      </c>
      <c r="N32" s="25"/>
      <c r="P32" s="25"/>
    </row>
    <row r="33" spans="12:16">
      <c r="L33" s="58" t="str">
        <f t="shared" ref="L33:L38" si="2">A9</f>
        <v>Laddhybrid</v>
      </c>
      <c r="M33" s="58">
        <f t="shared" si="1"/>
        <v>23.724073642507573</v>
      </c>
      <c r="N33" s="25"/>
      <c r="P33" s="25"/>
    </row>
    <row r="34" spans="12:16">
      <c r="L34" s="58" t="str">
        <f t="shared" si="2"/>
        <v>Bensin</v>
      </c>
      <c r="M34" s="58">
        <f t="shared" si="1"/>
        <v>22.972500582614774</v>
      </c>
      <c r="N34" s="25"/>
      <c r="P34" s="25"/>
    </row>
    <row r="35" spans="12:16">
      <c r="L35" s="58" t="str">
        <f t="shared" si="2"/>
        <v>Elhybrid</v>
      </c>
      <c r="M35" s="58">
        <f t="shared" si="1"/>
        <v>10.597762759263576</v>
      </c>
      <c r="N35" s="25"/>
      <c r="P35" s="25"/>
    </row>
    <row r="36" spans="12:16">
      <c r="L36" s="58" t="str">
        <f t="shared" si="2"/>
        <v>Diesel</v>
      </c>
      <c r="M36" s="58">
        <f t="shared" si="1"/>
        <v>10.003495688650665</v>
      </c>
      <c r="N36" s="25"/>
      <c r="P36" s="25"/>
    </row>
    <row r="37" spans="12:16">
      <c r="L37" s="58" t="str">
        <f t="shared" si="2"/>
        <v>Etanol</v>
      </c>
      <c r="M37" s="58">
        <f t="shared" si="1"/>
        <v>2.8198555115357729</v>
      </c>
      <c r="N37" s="25"/>
      <c r="P37" s="25"/>
    </row>
    <row r="38" spans="12:16">
      <c r="L38" s="58" t="str">
        <f t="shared" si="2"/>
        <v>Gas</v>
      </c>
      <c r="M38" s="58">
        <f t="shared" si="1"/>
        <v>1.0137497086926124</v>
      </c>
      <c r="N38" s="25"/>
      <c r="P38" s="25"/>
    </row>
    <row r="39" spans="12:16">
      <c r="L39" s="25"/>
      <c r="M39" s="58"/>
      <c r="N39" s="25"/>
      <c r="O39" s="25"/>
      <c r="P39" s="25"/>
    </row>
    <row r="40" spans="12:16">
      <c r="M40" s="8"/>
    </row>
    <row r="43" spans="12:16" ht="15.25" hidden="1" customHeight="1"/>
    <row r="60" spans="1:1">
      <c r="A60" s="25" t="s">
        <v>620</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90"/>
  <sheetViews>
    <sheetView showZeros="0" workbookViewId="0">
      <selection activeCell="T30" sqref="T30"/>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447</v>
      </c>
      <c r="P2" s="66"/>
      <c r="Q2" s="66"/>
      <c r="R2" s="66"/>
      <c r="S2" s="66"/>
      <c r="T2" s="66"/>
      <c r="U2" s="112"/>
    </row>
    <row r="3" spans="1:21" ht="15.25" customHeight="1">
      <c r="A3" s="9"/>
      <c r="O3" s="25" t="s">
        <v>446</v>
      </c>
      <c r="P3" s="25"/>
      <c r="Q3" s="25"/>
      <c r="R3" s="25"/>
      <c r="S3" s="25"/>
      <c r="T3" s="25"/>
      <c r="U3" s="25"/>
    </row>
    <row r="4" spans="1:21" ht="15.25" customHeight="1">
      <c r="A4" s="9"/>
      <c r="O4" s="6"/>
      <c r="P4" s="6"/>
      <c r="Q4" s="16"/>
      <c r="R4" s="16"/>
      <c r="S4" s="16"/>
      <c r="T4" s="16"/>
      <c r="U4" s="25"/>
    </row>
    <row r="5" spans="1:21" ht="15.25" customHeight="1" thickBot="1">
      <c r="A5" s="9"/>
      <c r="O5" s="19" t="s">
        <v>426</v>
      </c>
      <c r="P5" s="19">
        <v>2022</v>
      </c>
      <c r="Q5" s="19">
        <v>2023</v>
      </c>
      <c r="R5" s="19">
        <v>2024</v>
      </c>
      <c r="S5" s="25"/>
      <c r="T5" s="25"/>
      <c r="U5" s="25"/>
    </row>
    <row r="6" spans="1:21" ht="15.25" customHeight="1">
      <c r="A6" s="9"/>
      <c r="O6" s="16" t="s">
        <v>2</v>
      </c>
      <c r="P6" s="75">
        <v>52.9</v>
      </c>
      <c r="Q6" s="75">
        <v>52.2</v>
      </c>
      <c r="R6" s="75">
        <v>52.5</v>
      </c>
      <c r="S6" s="25"/>
      <c r="T6" s="25"/>
      <c r="U6" s="25"/>
    </row>
    <row r="7" spans="1:21" ht="15.25" customHeight="1">
      <c r="A7" s="9"/>
      <c r="O7" s="16" t="s">
        <v>3</v>
      </c>
      <c r="P7" s="75">
        <v>51.6</v>
      </c>
      <c r="Q7" s="75">
        <v>54</v>
      </c>
      <c r="R7" s="75"/>
      <c r="S7" s="25"/>
      <c r="T7" s="25"/>
      <c r="U7" s="25"/>
    </row>
    <row r="8" spans="1:21" ht="15.25" customHeight="1">
      <c r="A8" s="9"/>
      <c r="O8" s="16" t="s">
        <v>4</v>
      </c>
      <c r="P8" s="75">
        <v>55.6</v>
      </c>
      <c r="Q8" s="75">
        <v>59.9</v>
      </c>
      <c r="R8" s="75"/>
      <c r="S8" s="25"/>
      <c r="T8" s="25"/>
      <c r="U8" s="25"/>
    </row>
    <row r="9" spans="1:21" ht="15.25" customHeight="1">
      <c r="A9" s="9"/>
      <c r="O9" s="16" t="s">
        <v>5</v>
      </c>
      <c r="P9" s="75">
        <v>48.2</v>
      </c>
      <c r="Q9" s="75">
        <v>55.8</v>
      </c>
      <c r="R9" s="75"/>
      <c r="S9" s="25"/>
      <c r="T9" s="25"/>
      <c r="U9" s="25"/>
    </row>
    <row r="10" spans="1:21" ht="15.25" customHeight="1">
      <c r="A10" s="9"/>
      <c r="O10" s="16" t="s">
        <v>6</v>
      </c>
      <c r="P10" s="75">
        <v>47.4</v>
      </c>
      <c r="Q10" s="75">
        <v>61.9</v>
      </c>
      <c r="R10" s="75"/>
      <c r="S10" s="25"/>
      <c r="T10" s="25"/>
      <c r="U10" s="25"/>
    </row>
    <row r="11" spans="1:21" ht="15.25" customHeight="1">
      <c r="A11" s="9"/>
      <c r="O11" s="16" t="s">
        <v>7</v>
      </c>
      <c r="P11" s="75">
        <v>55</v>
      </c>
      <c r="Q11" s="75">
        <v>59.2</v>
      </c>
      <c r="R11" s="75"/>
      <c r="S11" s="25"/>
      <c r="T11" s="25"/>
      <c r="U11" s="25"/>
    </row>
    <row r="12" spans="1:21" ht="15.25" customHeight="1">
      <c r="A12" s="9"/>
      <c r="O12" s="16" t="s">
        <v>8</v>
      </c>
      <c r="P12" s="75">
        <v>49.9</v>
      </c>
      <c r="Q12" s="75">
        <v>59.9</v>
      </c>
      <c r="R12" s="75"/>
      <c r="S12" s="25"/>
      <c r="T12" s="25"/>
      <c r="U12" s="25"/>
    </row>
    <row r="13" spans="1:21" ht="15.25" customHeight="1">
      <c r="A13" s="9"/>
      <c r="O13" s="16" t="s">
        <v>9</v>
      </c>
      <c r="P13" s="75">
        <v>45.9</v>
      </c>
      <c r="Q13" s="75">
        <v>60.1</v>
      </c>
      <c r="R13" s="75"/>
      <c r="S13" s="25"/>
      <c r="T13" s="25"/>
      <c r="U13" s="25"/>
    </row>
    <row r="14" spans="1:21" ht="15.25" customHeight="1">
      <c r="A14" s="9"/>
      <c r="O14" s="16" t="s">
        <v>10</v>
      </c>
      <c r="P14" s="75">
        <v>55.1</v>
      </c>
      <c r="Q14" s="75">
        <v>63.4</v>
      </c>
      <c r="R14" s="75"/>
      <c r="S14" s="25"/>
      <c r="T14" s="25"/>
      <c r="U14" s="25"/>
    </row>
    <row r="15" spans="1:21" ht="15.25" customHeight="1">
      <c r="A15" s="9"/>
      <c r="O15" s="16" t="s">
        <v>11</v>
      </c>
      <c r="P15" s="75">
        <v>59.4</v>
      </c>
      <c r="Q15" s="75">
        <v>60.6</v>
      </c>
      <c r="R15" s="75"/>
      <c r="S15" s="25"/>
      <c r="T15" s="25"/>
      <c r="U15" s="25"/>
    </row>
    <row r="16" spans="1:21" ht="15.25" customHeight="1">
      <c r="A16" s="9"/>
      <c r="O16" s="16" t="s">
        <v>12</v>
      </c>
      <c r="P16" s="75">
        <v>64.599999999999994</v>
      </c>
      <c r="Q16" s="75">
        <v>60.5</v>
      </c>
      <c r="R16" s="75"/>
      <c r="S16" s="25"/>
      <c r="T16" s="25"/>
      <c r="U16" s="25"/>
    </row>
    <row r="17" spans="1:21" ht="15.25" customHeight="1">
      <c r="A17" s="9"/>
      <c r="O17" s="26" t="s">
        <v>13</v>
      </c>
      <c r="P17" s="76">
        <v>74.599999999999994</v>
      </c>
      <c r="Q17" s="76">
        <v>63.1</v>
      </c>
      <c r="R17" s="76"/>
      <c r="S17" s="25"/>
      <c r="T17" s="25"/>
      <c r="U17" s="25"/>
    </row>
    <row r="18" spans="1:21" ht="15.25" customHeight="1">
      <c r="A18" s="9"/>
      <c r="O18" s="6" t="s">
        <v>499</v>
      </c>
      <c r="P18" s="23">
        <v>56.1</v>
      </c>
      <c r="Q18" s="23">
        <v>59.8</v>
      </c>
      <c r="R18" s="23">
        <f>IF(getAggModelsPB[[#Totals],[antalÅret]] &gt; 0,getAggRechargeModels[[#Totals],[antalÅret]]  / getAggModelsPB[[#Totals],[antalÅret]] * 100,0)</f>
        <v>52.481938941971571</v>
      </c>
      <c r="S18" s="25"/>
      <c r="T18" s="25"/>
      <c r="U18" s="25"/>
    </row>
    <row r="19" spans="1:21" ht="15.25" customHeight="1">
      <c r="A19" s="9"/>
      <c r="O19" s="6" t="s">
        <v>498</v>
      </c>
      <c r="P19" s="23">
        <v>56.1</v>
      </c>
      <c r="Q19" s="23">
        <v>59.8</v>
      </c>
      <c r="R19" s="25"/>
      <c r="S19" s="25"/>
      <c r="T19" s="25"/>
      <c r="U19" s="25"/>
    </row>
    <row r="20" spans="1:21" ht="15.25" customHeight="1">
      <c r="A20" s="9"/>
    </row>
    <row r="21" spans="1:21" ht="15.25" customHeight="1">
      <c r="A21" s="9"/>
    </row>
    <row r="22" spans="1:21" ht="15.25" customHeight="1">
      <c r="A22" s="9"/>
    </row>
    <row r="23" spans="1:21" ht="15.25" customHeight="1">
      <c r="A23" s="9"/>
    </row>
    <row r="24" spans="1:21" ht="15.25" customHeight="1">
      <c r="A24" s="9"/>
    </row>
    <row r="25" spans="1:21" ht="15.25" customHeight="1">
      <c r="A25" s="9"/>
    </row>
    <row r="26" spans="1:21" ht="15.25" customHeight="1">
      <c r="A26" s="9"/>
    </row>
    <row r="27" spans="1:21" ht="15.25" customHeight="1">
      <c r="A27" s="9"/>
    </row>
    <row r="28" spans="1:21" ht="15.25" customHeight="1">
      <c r="A28" s="9"/>
    </row>
    <row r="29" spans="1:21" ht="15.25" customHeight="1">
      <c r="A29" s="9"/>
    </row>
    <row r="30" spans="1:21" ht="15.25" customHeight="1">
      <c r="A30" s="9"/>
    </row>
    <row r="31" spans="1:21" ht="15.25" customHeight="1">
      <c r="A31" s="9"/>
    </row>
    <row r="32" spans="1:21" ht="15.25" customHeight="1">
      <c r="A32" s="9"/>
    </row>
    <row r="33" spans="1:14" ht="15.25" customHeight="1">
      <c r="A33" s="9"/>
    </row>
    <row r="34" spans="1:14" ht="15.25" customHeight="1">
      <c r="A34" s="9"/>
    </row>
    <row r="35" spans="1:14" ht="15.25" customHeight="1">
      <c r="A35" s="9"/>
    </row>
    <row r="36" spans="1:14" ht="19.25" customHeight="1" thickBot="1">
      <c r="A36" s="66" t="s">
        <v>432</v>
      </c>
      <c r="B36" s="66"/>
      <c r="C36" s="66"/>
    </row>
    <row r="37" spans="1:14" ht="15.25" customHeight="1">
      <c r="A37" s="9"/>
    </row>
    <row r="38" spans="1:14">
      <c r="A38" s="7" t="s">
        <v>422</v>
      </c>
      <c r="B38" s="55"/>
      <c r="C38" s="55"/>
      <c r="D38" s="55"/>
      <c r="E38" s="55"/>
      <c r="F38" s="55"/>
      <c r="G38" s="55"/>
      <c r="H38" s="257" t="s">
        <v>423</v>
      </c>
      <c r="I38" s="257"/>
      <c r="J38" s="257"/>
      <c r="K38" s="257"/>
      <c r="L38" s="257"/>
      <c r="M38" s="257"/>
      <c r="N38" s="55"/>
    </row>
    <row r="39" spans="1:14">
      <c r="A39" s="102"/>
      <c r="B39" s="113"/>
      <c r="C39" s="113"/>
      <c r="D39" s="258" t="s">
        <v>500</v>
      </c>
      <c r="E39" s="259"/>
      <c r="F39" s="260" t="s">
        <v>500</v>
      </c>
      <c r="G39" s="261"/>
      <c r="H39" s="260" t="s">
        <v>501</v>
      </c>
      <c r="I39" s="261"/>
      <c r="J39" s="260" t="s">
        <v>502</v>
      </c>
      <c r="K39" s="261"/>
      <c r="L39" s="260" t="s">
        <v>502</v>
      </c>
      <c r="M39" s="261"/>
      <c r="N39" s="55"/>
    </row>
    <row r="40" spans="1:14">
      <c r="A40" s="102"/>
      <c r="B40" s="114" t="s">
        <v>424</v>
      </c>
      <c r="C40" s="115" t="s">
        <v>504</v>
      </c>
      <c r="D40" s="116" t="str">
        <f>Innehåll!D79</f>
        <v xml:space="preserve"> 2024-01</v>
      </c>
      <c r="E40" s="116" t="str">
        <f>Innehåll!D80</f>
        <v xml:space="preserve"> 2023-01</v>
      </c>
      <c r="F40" s="116" t="str">
        <f>Innehåll!D81</f>
        <v>YTD  2024</v>
      </c>
      <c r="G40" s="116" t="str">
        <f>Innehåll!D82</f>
        <v>YTD  2023</v>
      </c>
      <c r="H40" s="116" t="str">
        <f>D40</f>
        <v xml:space="preserve"> 2024-01</v>
      </c>
      <c r="I40" s="117" t="str">
        <f>F40</f>
        <v>YTD  2024</v>
      </c>
      <c r="J40" s="116" t="str">
        <f>D40</f>
        <v xml:space="preserve"> 2024-01</v>
      </c>
      <c r="K40" s="118" t="str">
        <f>F40</f>
        <v>YTD  2024</v>
      </c>
      <c r="L40" s="119" t="str">
        <f>E40</f>
        <v xml:space="preserve"> 2023-01</v>
      </c>
      <c r="M40" s="119" t="str">
        <f>G40</f>
        <v>YTD  2023</v>
      </c>
      <c r="N40" s="55"/>
    </row>
    <row r="41" spans="1:14" ht="15.25" hidden="1" customHeight="1">
      <c r="A41" s="55" t="s">
        <v>24</v>
      </c>
      <c r="B41" s="55" t="s">
        <v>211</v>
      </c>
      <c r="C41" s="55" t="s">
        <v>212</v>
      </c>
      <c r="D41" s="55" t="s">
        <v>26</v>
      </c>
      <c r="E41" s="55" t="s">
        <v>27</v>
      </c>
      <c r="F41" s="55" t="s">
        <v>28</v>
      </c>
      <c r="G41" s="55" t="s">
        <v>29</v>
      </c>
      <c r="H41" s="55" t="s">
        <v>30</v>
      </c>
      <c r="I41" s="55" t="s">
        <v>31</v>
      </c>
      <c r="J41" s="55" t="s">
        <v>32</v>
      </c>
      <c r="K41" s="55" t="s">
        <v>33</v>
      </c>
      <c r="L41" s="55" t="s">
        <v>34</v>
      </c>
      <c r="M41" s="55" t="s">
        <v>35</v>
      </c>
      <c r="N41" s="55"/>
    </row>
    <row r="42" spans="1:14">
      <c r="A42" s="55">
        <v>1</v>
      </c>
      <c r="B42" s="55" t="s">
        <v>369</v>
      </c>
      <c r="C42" s="55" t="s">
        <v>19</v>
      </c>
      <c r="D42" s="22">
        <v>744</v>
      </c>
      <c r="E42" s="22">
        <v>610</v>
      </c>
      <c r="F42" s="22">
        <v>744</v>
      </c>
      <c r="G42" s="22">
        <v>610</v>
      </c>
      <c r="H42" s="55">
        <v>21.97</v>
      </c>
      <c r="I42" s="55">
        <v>21.97</v>
      </c>
      <c r="J42" s="55">
        <v>8.26</v>
      </c>
      <c r="K42" s="55">
        <v>8.26</v>
      </c>
      <c r="L42" s="55">
        <v>8</v>
      </c>
      <c r="M42" s="55">
        <v>8</v>
      </c>
      <c r="N42" s="55"/>
    </row>
    <row r="43" spans="1:14">
      <c r="A43" s="55">
        <v>2</v>
      </c>
      <c r="B43" s="55" t="s">
        <v>553</v>
      </c>
      <c r="C43" s="55" t="s">
        <v>20</v>
      </c>
      <c r="D43" s="22">
        <v>577</v>
      </c>
      <c r="E43" s="22">
        <v>102</v>
      </c>
      <c r="F43" s="22">
        <v>577</v>
      </c>
      <c r="G43" s="22">
        <v>102</v>
      </c>
      <c r="H43" s="55">
        <v>465.69</v>
      </c>
      <c r="I43" s="55">
        <v>465.69</v>
      </c>
      <c r="J43" s="55">
        <v>6.41</v>
      </c>
      <c r="K43" s="55">
        <v>6.41</v>
      </c>
      <c r="L43" s="55">
        <v>1.34</v>
      </c>
      <c r="M43" s="55">
        <v>1.34</v>
      </c>
      <c r="N43" s="55"/>
    </row>
    <row r="44" spans="1:14">
      <c r="A44" s="55">
        <v>3</v>
      </c>
      <c r="B44" s="55" t="s">
        <v>397</v>
      </c>
      <c r="C44" s="55" t="s">
        <v>20</v>
      </c>
      <c r="D44" s="22">
        <v>567</v>
      </c>
      <c r="E44" s="22">
        <v>698</v>
      </c>
      <c r="F44" s="22">
        <v>567</v>
      </c>
      <c r="G44" s="22">
        <v>698</v>
      </c>
      <c r="H44" s="55">
        <v>-18.77</v>
      </c>
      <c r="I44" s="55">
        <v>-18.77</v>
      </c>
      <c r="J44" s="55">
        <v>6.29</v>
      </c>
      <c r="K44" s="55">
        <v>6.29</v>
      </c>
      <c r="L44" s="55">
        <v>9.15</v>
      </c>
      <c r="M44" s="55">
        <v>9.15</v>
      </c>
      <c r="N44" s="55"/>
    </row>
    <row r="45" spans="1:14">
      <c r="A45" s="55">
        <v>4</v>
      </c>
      <c r="B45" s="55" t="s">
        <v>583</v>
      </c>
      <c r="C45" s="55" t="s">
        <v>20</v>
      </c>
      <c r="D45" s="22">
        <v>344</v>
      </c>
      <c r="E45" s="22">
        <v>372</v>
      </c>
      <c r="F45" s="22">
        <v>344</v>
      </c>
      <c r="G45" s="22">
        <v>372</v>
      </c>
      <c r="H45" s="55">
        <v>-7.53</v>
      </c>
      <c r="I45" s="55">
        <v>-7.53</v>
      </c>
      <c r="J45" s="55">
        <v>3.82</v>
      </c>
      <c r="K45" s="55">
        <v>3.82</v>
      </c>
      <c r="L45" s="55">
        <v>4.88</v>
      </c>
      <c r="M45" s="55">
        <v>4.88</v>
      </c>
      <c r="N45" s="55"/>
    </row>
    <row r="46" spans="1:14">
      <c r="A46" s="55">
        <v>5</v>
      </c>
      <c r="B46" s="55" t="s">
        <v>384</v>
      </c>
      <c r="C46" s="55" t="s">
        <v>19</v>
      </c>
      <c r="D46" s="22">
        <v>305</v>
      </c>
      <c r="E46" s="22">
        <v>400</v>
      </c>
      <c r="F46" s="22">
        <v>305</v>
      </c>
      <c r="G46" s="22">
        <v>400</v>
      </c>
      <c r="H46" s="55">
        <v>-23.75</v>
      </c>
      <c r="I46" s="55">
        <v>-23.75</v>
      </c>
      <c r="J46" s="55">
        <v>3.39</v>
      </c>
      <c r="K46" s="55">
        <v>3.39</v>
      </c>
      <c r="L46" s="55">
        <v>5.24</v>
      </c>
      <c r="M46" s="55">
        <v>5.24</v>
      </c>
      <c r="N46" s="55"/>
    </row>
    <row r="47" spans="1:14">
      <c r="A47" s="55">
        <v>6</v>
      </c>
      <c r="B47" s="55" t="s">
        <v>448</v>
      </c>
      <c r="C47" s="55" t="s">
        <v>20</v>
      </c>
      <c r="D47" s="22">
        <v>288</v>
      </c>
      <c r="E47" s="22">
        <v>276</v>
      </c>
      <c r="F47" s="22">
        <v>288</v>
      </c>
      <c r="G47" s="22">
        <v>276</v>
      </c>
      <c r="H47" s="55">
        <v>4.3499999999999996</v>
      </c>
      <c r="I47" s="55">
        <v>4.3499999999999996</v>
      </c>
      <c r="J47" s="55">
        <v>3.2</v>
      </c>
      <c r="K47" s="55">
        <v>3.2</v>
      </c>
      <c r="L47" s="55">
        <v>3.62</v>
      </c>
      <c r="M47" s="55">
        <v>3.62</v>
      </c>
      <c r="N47" s="55"/>
    </row>
    <row r="48" spans="1:14">
      <c r="A48" s="55">
        <v>7</v>
      </c>
      <c r="B48" s="55" t="s">
        <v>548</v>
      </c>
      <c r="C48" s="55" t="s">
        <v>20</v>
      </c>
      <c r="D48" s="22">
        <v>286</v>
      </c>
      <c r="E48" s="22">
        <v>102</v>
      </c>
      <c r="F48" s="22">
        <v>286</v>
      </c>
      <c r="G48" s="22">
        <v>102</v>
      </c>
      <c r="H48" s="55">
        <v>180.39</v>
      </c>
      <c r="I48" s="55">
        <v>180.39</v>
      </c>
      <c r="J48" s="55">
        <v>3.17</v>
      </c>
      <c r="K48" s="55">
        <v>3.17</v>
      </c>
      <c r="L48" s="55">
        <v>1.34</v>
      </c>
      <c r="M48" s="55">
        <v>1.34</v>
      </c>
      <c r="N48" s="55"/>
    </row>
    <row r="49" spans="1:14">
      <c r="A49" s="55">
        <v>8</v>
      </c>
      <c r="B49" s="55" t="s">
        <v>1122</v>
      </c>
      <c r="C49" s="55" t="s">
        <v>20</v>
      </c>
      <c r="D49" s="22">
        <v>274</v>
      </c>
      <c r="E49" s="22">
        <v>0</v>
      </c>
      <c r="F49" s="22">
        <v>274</v>
      </c>
      <c r="G49" s="22">
        <v>0</v>
      </c>
      <c r="H49" s="55">
        <v>0</v>
      </c>
      <c r="I49" s="55">
        <v>0</v>
      </c>
      <c r="J49" s="55">
        <v>3.04</v>
      </c>
      <c r="K49" s="55">
        <v>3.04</v>
      </c>
      <c r="L49" s="55">
        <v>0</v>
      </c>
      <c r="M49" s="55">
        <v>0</v>
      </c>
      <c r="N49" s="55"/>
    </row>
    <row r="50" spans="1:14">
      <c r="A50" s="55">
        <v>9</v>
      </c>
      <c r="B50" s="55" t="s">
        <v>351</v>
      </c>
      <c r="C50" s="55" t="s">
        <v>19</v>
      </c>
      <c r="D50" s="22">
        <v>268</v>
      </c>
      <c r="E50" s="22">
        <v>171</v>
      </c>
      <c r="F50" s="22">
        <v>268</v>
      </c>
      <c r="G50" s="22">
        <v>171</v>
      </c>
      <c r="H50" s="55">
        <v>56.73</v>
      </c>
      <c r="I50" s="55">
        <v>56.73</v>
      </c>
      <c r="J50" s="55">
        <v>2.98</v>
      </c>
      <c r="K50" s="55">
        <v>2.98</v>
      </c>
      <c r="L50" s="55">
        <v>2.2400000000000002</v>
      </c>
      <c r="M50" s="55">
        <v>2.2400000000000002</v>
      </c>
      <c r="N50" s="55"/>
    </row>
    <row r="51" spans="1:14">
      <c r="A51" s="55">
        <v>10</v>
      </c>
      <c r="B51" s="55" t="s">
        <v>629</v>
      </c>
      <c r="C51" s="55" t="s">
        <v>19</v>
      </c>
      <c r="D51" s="22">
        <v>233</v>
      </c>
      <c r="E51" s="22">
        <v>247</v>
      </c>
      <c r="F51" s="22">
        <v>233</v>
      </c>
      <c r="G51" s="22">
        <v>247</v>
      </c>
      <c r="H51" s="55">
        <v>-5.67</v>
      </c>
      <c r="I51" s="55">
        <v>-5.67</v>
      </c>
      <c r="J51" s="55">
        <v>2.59</v>
      </c>
      <c r="K51" s="55">
        <v>2.59</v>
      </c>
      <c r="L51" s="55">
        <v>3.24</v>
      </c>
      <c r="M51" s="55">
        <v>3.24</v>
      </c>
      <c r="N51" s="55"/>
    </row>
    <row r="52" spans="1:14">
      <c r="A52" s="55">
        <v>11</v>
      </c>
      <c r="B52" s="55" t="s">
        <v>379</v>
      </c>
      <c r="C52" s="55" t="s">
        <v>20</v>
      </c>
      <c r="D52" s="22">
        <v>232</v>
      </c>
      <c r="E52" s="22">
        <v>97</v>
      </c>
      <c r="F52" s="22">
        <v>232</v>
      </c>
      <c r="G52" s="22">
        <v>97</v>
      </c>
      <c r="H52" s="55">
        <v>139.18</v>
      </c>
      <c r="I52" s="55">
        <v>139.18</v>
      </c>
      <c r="J52" s="55">
        <v>2.58</v>
      </c>
      <c r="K52" s="55">
        <v>2.58</v>
      </c>
      <c r="L52" s="55">
        <v>1.27</v>
      </c>
      <c r="M52" s="55">
        <v>1.27</v>
      </c>
      <c r="N52" s="55"/>
    </row>
    <row r="53" spans="1:14">
      <c r="A53" s="55">
        <v>12</v>
      </c>
      <c r="B53" s="55" t="s">
        <v>1082</v>
      </c>
      <c r="C53" s="55" t="s">
        <v>19</v>
      </c>
      <c r="D53" s="22">
        <v>182</v>
      </c>
      <c r="E53" s="22">
        <v>0</v>
      </c>
      <c r="F53" s="22">
        <v>182</v>
      </c>
      <c r="G53" s="22">
        <v>0</v>
      </c>
      <c r="H53" s="55">
        <v>0</v>
      </c>
      <c r="I53" s="55">
        <v>0</v>
      </c>
      <c r="J53" s="55">
        <v>2.02</v>
      </c>
      <c r="K53" s="55">
        <v>2.02</v>
      </c>
      <c r="L53" s="55">
        <v>0</v>
      </c>
      <c r="M53" s="55">
        <v>0</v>
      </c>
      <c r="N53" s="55"/>
    </row>
    <row r="54" spans="1:14">
      <c r="A54" s="55">
        <v>13</v>
      </c>
      <c r="B54" s="55" t="s">
        <v>217</v>
      </c>
      <c r="C54" s="55" t="s">
        <v>19</v>
      </c>
      <c r="D54" s="22">
        <v>164</v>
      </c>
      <c r="E54" s="22">
        <v>102</v>
      </c>
      <c r="F54" s="22">
        <v>164</v>
      </c>
      <c r="G54" s="22">
        <v>102</v>
      </c>
      <c r="H54" s="55">
        <v>60.78</v>
      </c>
      <c r="I54" s="55">
        <v>60.78</v>
      </c>
      <c r="J54" s="55">
        <v>1.82</v>
      </c>
      <c r="K54" s="55">
        <v>1.82</v>
      </c>
      <c r="L54" s="55">
        <v>1.34</v>
      </c>
      <c r="M54" s="55">
        <v>1.34</v>
      </c>
      <c r="N54" s="55"/>
    </row>
    <row r="55" spans="1:14">
      <c r="A55" s="55">
        <v>14</v>
      </c>
      <c r="B55" s="55" t="s">
        <v>94</v>
      </c>
      <c r="C55" s="55" t="s">
        <v>20</v>
      </c>
      <c r="D55" s="22">
        <v>164</v>
      </c>
      <c r="E55" s="22">
        <v>72</v>
      </c>
      <c r="F55" s="22">
        <v>164</v>
      </c>
      <c r="G55" s="22">
        <v>72</v>
      </c>
      <c r="H55" s="55">
        <v>127.78</v>
      </c>
      <c r="I55" s="55">
        <v>127.78</v>
      </c>
      <c r="J55" s="55">
        <v>1.82</v>
      </c>
      <c r="K55" s="55">
        <v>1.82</v>
      </c>
      <c r="L55" s="55">
        <v>0.94</v>
      </c>
      <c r="M55" s="55">
        <v>0.94</v>
      </c>
      <c r="N55" s="55"/>
    </row>
    <row r="56" spans="1:14">
      <c r="A56" s="55">
        <v>15</v>
      </c>
      <c r="B56" s="55" t="s">
        <v>355</v>
      </c>
      <c r="C56" s="55" t="s">
        <v>19</v>
      </c>
      <c r="D56" s="22">
        <v>164</v>
      </c>
      <c r="E56" s="22">
        <v>39</v>
      </c>
      <c r="F56" s="22">
        <v>164</v>
      </c>
      <c r="G56" s="22">
        <v>39</v>
      </c>
      <c r="H56" s="55">
        <v>320.51</v>
      </c>
      <c r="I56" s="55">
        <v>320.51</v>
      </c>
      <c r="J56" s="55">
        <v>1.82</v>
      </c>
      <c r="K56" s="55">
        <v>1.82</v>
      </c>
      <c r="L56" s="55">
        <v>0.51</v>
      </c>
      <c r="M56" s="55">
        <v>0.51</v>
      </c>
      <c r="N56" s="55"/>
    </row>
    <row r="57" spans="1:14">
      <c r="A57" s="55">
        <v>16</v>
      </c>
      <c r="B57" s="55" t="s">
        <v>1087</v>
      </c>
      <c r="C57" s="55" t="s">
        <v>20</v>
      </c>
      <c r="D57" s="22">
        <v>160</v>
      </c>
      <c r="E57" s="22">
        <v>0</v>
      </c>
      <c r="F57" s="22">
        <v>160</v>
      </c>
      <c r="G57" s="22">
        <v>0</v>
      </c>
      <c r="H57" s="55">
        <v>0</v>
      </c>
      <c r="I57" s="55">
        <v>0</v>
      </c>
      <c r="J57" s="55">
        <v>1.78</v>
      </c>
      <c r="K57" s="55">
        <v>1.78</v>
      </c>
      <c r="L57" s="55">
        <v>0</v>
      </c>
      <c r="M57" s="55">
        <v>0</v>
      </c>
      <c r="N57" s="55"/>
    </row>
    <row r="58" spans="1:14">
      <c r="A58" s="55">
        <v>17</v>
      </c>
      <c r="B58" s="55" t="s">
        <v>398</v>
      </c>
      <c r="C58" s="55" t="s">
        <v>19</v>
      </c>
      <c r="D58" s="22">
        <v>143</v>
      </c>
      <c r="E58" s="22">
        <v>15</v>
      </c>
      <c r="F58" s="22">
        <v>143</v>
      </c>
      <c r="G58" s="22">
        <v>15</v>
      </c>
      <c r="H58" s="55">
        <v>853.33</v>
      </c>
      <c r="I58" s="55">
        <v>853.33</v>
      </c>
      <c r="J58" s="55">
        <v>1.59</v>
      </c>
      <c r="K58" s="55">
        <v>1.59</v>
      </c>
      <c r="L58" s="55">
        <v>0.2</v>
      </c>
      <c r="M58" s="55">
        <v>0.2</v>
      </c>
      <c r="N58" s="55"/>
    </row>
    <row r="59" spans="1:14">
      <c r="A59" s="55">
        <v>18</v>
      </c>
      <c r="B59" s="55" t="s">
        <v>55</v>
      </c>
      <c r="C59" s="55" t="s">
        <v>20</v>
      </c>
      <c r="D59" s="22">
        <v>142</v>
      </c>
      <c r="E59" s="22">
        <v>96</v>
      </c>
      <c r="F59" s="22">
        <v>142</v>
      </c>
      <c r="G59" s="22">
        <v>96</v>
      </c>
      <c r="H59" s="55">
        <v>47.92</v>
      </c>
      <c r="I59" s="55">
        <v>47.92</v>
      </c>
      <c r="J59" s="55">
        <v>1.58</v>
      </c>
      <c r="K59" s="55">
        <v>1.58</v>
      </c>
      <c r="L59" s="55">
        <v>1.26</v>
      </c>
      <c r="M59" s="55">
        <v>1.26</v>
      </c>
      <c r="N59" s="55"/>
    </row>
    <row r="60" spans="1:14">
      <c r="A60" s="55">
        <v>19</v>
      </c>
      <c r="B60" s="55" t="s">
        <v>392</v>
      </c>
      <c r="C60" s="55" t="s">
        <v>20</v>
      </c>
      <c r="D60" s="22">
        <v>140</v>
      </c>
      <c r="E60" s="22">
        <v>59</v>
      </c>
      <c r="F60" s="22">
        <v>140</v>
      </c>
      <c r="G60" s="22">
        <v>59</v>
      </c>
      <c r="H60" s="55">
        <v>137.29</v>
      </c>
      <c r="I60" s="55">
        <v>137.29</v>
      </c>
      <c r="J60" s="55">
        <v>1.55</v>
      </c>
      <c r="K60" s="55">
        <v>1.55</v>
      </c>
      <c r="L60" s="55">
        <v>0.77</v>
      </c>
      <c r="M60" s="55">
        <v>0.77</v>
      </c>
      <c r="N60" s="55"/>
    </row>
    <row r="61" spans="1:14">
      <c r="A61" s="55">
        <v>20</v>
      </c>
      <c r="B61" s="55" t="s">
        <v>947</v>
      </c>
      <c r="C61" s="55" t="s">
        <v>19</v>
      </c>
      <c r="D61" s="22">
        <v>119</v>
      </c>
      <c r="E61" s="22">
        <v>9</v>
      </c>
      <c r="F61" s="22">
        <v>119</v>
      </c>
      <c r="G61" s="22">
        <v>9</v>
      </c>
      <c r="H61" s="55">
        <v>1222.22</v>
      </c>
      <c r="I61" s="55">
        <v>1222.22</v>
      </c>
      <c r="J61" s="55">
        <v>1.32</v>
      </c>
      <c r="K61" s="55">
        <v>1.32</v>
      </c>
      <c r="L61" s="55">
        <v>0.12</v>
      </c>
      <c r="M61" s="55">
        <v>0.12</v>
      </c>
      <c r="N61" s="55"/>
    </row>
    <row r="62" spans="1:14">
      <c r="A62" s="55">
        <v>21</v>
      </c>
      <c r="B62" s="55" t="s">
        <v>1060</v>
      </c>
      <c r="C62" s="55" t="s">
        <v>19</v>
      </c>
      <c r="D62" s="22">
        <v>112</v>
      </c>
      <c r="E62" s="22">
        <v>0</v>
      </c>
      <c r="F62" s="22">
        <v>112</v>
      </c>
      <c r="G62" s="22">
        <v>0</v>
      </c>
      <c r="H62" s="55">
        <v>0</v>
      </c>
      <c r="I62" s="55">
        <v>0</v>
      </c>
      <c r="J62" s="55">
        <v>1.24</v>
      </c>
      <c r="K62" s="55">
        <v>1.24</v>
      </c>
      <c r="L62" s="55">
        <v>0</v>
      </c>
      <c r="M62" s="55">
        <v>0</v>
      </c>
      <c r="N62" s="55"/>
    </row>
    <row r="63" spans="1:14">
      <c r="A63" s="55">
        <v>22</v>
      </c>
      <c r="B63" s="55" t="s">
        <v>526</v>
      </c>
      <c r="C63" s="55" t="s">
        <v>20</v>
      </c>
      <c r="D63" s="22">
        <v>109</v>
      </c>
      <c r="E63" s="22">
        <v>153</v>
      </c>
      <c r="F63" s="22">
        <v>109</v>
      </c>
      <c r="G63" s="22">
        <v>153</v>
      </c>
      <c r="H63" s="55">
        <v>-28.76</v>
      </c>
      <c r="I63" s="55">
        <v>-28.76</v>
      </c>
      <c r="J63" s="55">
        <v>1.21</v>
      </c>
      <c r="K63" s="55">
        <v>1.21</v>
      </c>
      <c r="L63" s="55">
        <v>2.0099999999999998</v>
      </c>
      <c r="M63" s="55">
        <v>2.0099999999999998</v>
      </c>
      <c r="N63" s="55"/>
    </row>
    <row r="64" spans="1:14">
      <c r="A64" s="55">
        <v>23</v>
      </c>
      <c r="B64" s="55" t="s">
        <v>1096</v>
      </c>
      <c r="C64" s="55" t="s">
        <v>19</v>
      </c>
      <c r="D64" s="22">
        <v>106</v>
      </c>
      <c r="E64" s="22">
        <v>0</v>
      </c>
      <c r="F64" s="22">
        <v>106</v>
      </c>
      <c r="G64" s="22">
        <v>0</v>
      </c>
      <c r="H64" s="55">
        <v>0</v>
      </c>
      <c r="I64" s="55">
        <v>0</v>
      </c>
      <c r="J64" s="55">
        <v>1.18</v>
      </c>
      <c r="K64" s="55">
        <v>1.18</v>
      </c>
      <c r="L64" s="55">
        <v>0</v>
      </c>
      <c r="M64" s="55">
        <v>0</v>
      </c>
      <c r="N64" s="55"/>
    </row>
    <row r="65" spans="1:14">
      <c r="A65" s="55">
        <v>24</v>
      </c>
      <c r="B65" s="55" t="s">
        <v>601</v>
      </c>
      <c r="C65" s="55" t="s">
        <v>20</v>
      </c>
      <c r="D65" s="22">
        <v>101</v>
      </c>
      <c r="E65" s="22">
        <v>23</v>
      </c>
      <c r="F65" s="22">
        <v>101</v>
      </c>
      <c r="G65" s="22">
        <v>23</v>
      </c>
      <c r="H65" s="55">
        <v>339.13</v>
      </c>
      <c r="I65" s="55">
        <v>339.13</v>
      </c>
      <c r="J65" s="55">
        <v>1.1200000000000001</v>
      </c>
      <c r="K65" s="55">
        <v>1.1200000000000001</v>
      </c>
      <c r="L65" s="55">
        <v>0.3</v>
      </c>
      <c r="M65" s="55">
        <v>0.3</v>
      </c>
      <c r="N65" s="55"/>
    </row>
    <row r="66" spans="1:14">
      <c r="A66" s="55">
        <v>25</v>
      </c>
      <c r="B66" s="55" t="s">
        <v>576</v>
      </c>
      <c r="C66" s="55" t="s">
        <v>20</v>
      </c>
      <c r="D66" s="22">
        <v>95</v>
      </c>
      <c r="E66" s="22">
        <v>425</v>
      </c>
      <c r="F66" s="22">
        <v>95</v>
      </c>
      <c r="G66" s="22">
        <v>425</v>
      </c>
      <c r="H66" s="55">
        <v>-77.650000000000006</v>
      </c>
      <c r="I66" s="55">
        <v>-77.650000000000006</v>
      </c>
      <c r="J66" s="55">
        <v>1.05</v>
      </c>
      <c r="K66" s="55">
        <v>1.05</v>
      </c>
      <c r="L66" s="55">
        <v>5.57</v>
      </c>
      <c r="M66" s="55">
        <v>5.57</v>
      </c>
      <c r="N66" s="55"/>
    </row>
    <row r="67" spans="1:14">
      <c r="A67" s="55">
        <v>26</v>
      </c>
      <c r="B67" s="55" t="s">
        <v>213</v>
      </c>
      <c r="C67" s="55" t="s">
        <v>19</v>
      </c>
      <c r="D67" s="22">
        <v>92</v>
      </c>
      <c r="E67" s="22">
        <v>44</v>
      </c>
      <c r="F67" s="22">
        <v>92</v>
      </c>
      <c r="G67" s="22">
        <v>44</v>
      </c>
      <c r="H67" s="55">
        <v>109.09</v>
      </c>
      <c r="I67" s="55">
        <v>109.09</v>
      </c>
      <c r="J67" s="55">
        <v>1.02</v>
      </c>
      <c r="K67" s="55">
        <v>1.02</v>
      </c>
      <c r="L67" s="55">
        <v>0.57999999999999996</v>
      </c>
      <c r="M67" s="55">
        <v>0.57999999999999996</v>
      </c>
      <c r="N67" s="55"/>
    </row>
    <row r="68" spans="1:14">
      <c r="A68" s="55">
        <v>27</v>
      </c>
      <c r="B68" s="55" t="s">
        <v>131</v>
      </c>
      <c r="C68" s="55" t="s">
        <v>20</v>
      </c>
      <c r="D68" s="22">
        <v>92</v>
      </c>
      <c r="E68" s="22">
        <v>35</v>
      </c>
      <c r="F68" s="22">
        <v>92</v>
      </c>
      <c r="G68" s="22">
        <v>35</v>
      </c>
      <c r="H68" s="55">
        <v>162.86000000000001</v>
      </c>
      <c r="I68" s="55">
        <v>162.86000000000001</v>
      </c>
      <c r="J68" s="55">
        <v>1.02</v>
      </c>
      <c r="K68" s="55">
        <v>1.02</v>
      </c>
      <c r="L68" s="55">
        <v>0.46</v>
      </c>
      <c r="M68" s="55">
        <v>0.46</v>
      </c>
      <c r="N68" s="55"/>
    </row>
    <row r="69" spans="1:14">
      <c r="A69" s="55">
        <v>28</v>
      </c>
      <c r="B69" s="55" t="s">
        <v>455</v>
      </c>
      <c r="C69" s="55" t="s">
        <v>19</v>
      </c>
      <c r="D69" s="22">
        <v>91</v>
      </c>
      <c r="E69" s="22">
        <v>81</v>
      </c>
      <c r="F69" s="22">
        <v>91</v>
      </c>
      <c r="G69" s="22">
        <v>81</v>
      </c>
      <c r="H69" s="55">
        <v>12.35</v>
      </c>
      <c r="I69" s="55">
        <v>12.35</v>
      </c>
      <c r="J69" s="55">
        <v>1.01</v>
      </c>
      <c r="K69" s="55">
        <v>1.01</v>
      </c>
      <c r="L69" s="55">
        <v>1.06</v>
      </c>
      <c r="M69" s="55">
        <v>1.06</v>
      </c>
      <c r="N69" s="55"/>
    </row>
    <row r="70" spans="1:14">
      <c r="A70" s="55">
        <v>29</v>
      </c>
      <c r="B70" s="55" t="s">
        <v>519</v>
      </c>
      <c r="C70" s="55" t="s">
        <v>20</v>
      </c>
      <c r="D70" s="22">
        <v>89</v>
      </c>
      <c r="E70" s="22">
        <v>28</v>
      </c>
      <c r="F70" s="22">
        <v>89</v>
      </c>
      <c r="G70" s="22">
        <v>28</v>
      </c>
      <c r="H70" s="55">
        <v>217.86</v>
      </c>
      <c r="I70" s="55">
        <v>217.86</v>
      </c>
      <c r="J70" s="55">
        <v>0.99</v>
      </c>
      <c r="K70" s="55">
        <v>0.99</v>
      </c>
      <c r="L70" s="55">
        <v>0.37</v>
      </c>
      <c r="M70" s="55">
        <v>0.37</v>
      </c>
      <c r="N70" s="55"/>
    </row>
    <row r="71" spans="1:14">
      <c r="A71" s="55">
        <v>30</v>
      </c>
      <c r="B71" s="55" t="s">
        <v>590</v>
      </c>
      <c r="C71" s="55" t="s">
        <v>20</v>
      </c>
      <c r="D71" s="22">
        <v>80</v>
      </c>
      <c r="E71" s="22">
        <v>84</v>
      </c>
      <c r="F71" s="22">
        <v>80</v>
      </c>
      <c r="G71" s="22">
        <v>84</v>
      </c>
      <c r="H71" s="55">
        <v>-4.76</v>
      </c>
      <c r="I71" s="55">
        <v>-4.76</v>
      </c>
      <c r="J71" s="55">
        <v>0.89</v>
      </c>
      <c r="K71" s="55">
        <v>0.89</v>
      </c>
      <c r="L71" s="55">
        <v>1.1000000000000001</v>
      </c>
      <c r="M71" s="55">
        <v>1.1000000000000001</v>
      </c>
      <c r="N71" s="55"/>
    </row>
    <row r="72" spans="1:14">
      <c r="A72" s="55">
        <v>31</v>
      </c>
      <c r="B72" s="55" t="s">
        <v>370</v>
      </c>
      <c r="C72" s="55" t="s">
        <v>19</v>
      </c>
      <c r="D72" s="22">
        <v>74</v>
      </c>
      <c r="E72" s="22">
        <v>82</v>
      </c>
      <c r="F72" s="22">
        <v>74</v>
      </c>
      <c r="G72" s="22">
        <v>82</v>
      </c>
      <c r="H72" s="55">
        <v>-9.76</v>
      </c>
      <c r="I72" s="55">
        <v>-9.76</v>
      </c>
      <c r="J72" s="55">
        <v>0.82</v>
      </c>
      <c r="K72" s="55">
        <v>0.82</v>
      </c>
      <c r="L72" s="55">
        <v>1.07</v>
      </c>
      <c r="M72" s="55">
        <v>1.07</v>
      </c>
      <c r="N72" s="55"/>
    </row>
    <row r="73" spans="1:14">
      <c r="A73" s="55">
        <v>32</v>
      </c>
      <c r="B73" s="55" t="s">
        <v>456</v>
      </c>
      <c r="C73" s="55" t="s">
        <v>19</v>
      </c>
      <c r="D73" s="22">
        <v>68</v>
      </c>
      <c r="E73" s="22">
        <v>24</v>
      </c>
      <c r="F73" s="22">
        <v>68</v>
      </c>
      <c r="G73" s="22">
        <v>24</v>
      </c>
      <c r="H73" s="55">
        <v>183.33</v>
      </c>
      <c r="I73" s="55">
        <v>183.33</v>
      </c>
      <c r="J73" s="55">
        <v>0.75</v>
      </c>
      <c r="K73" s="55">
        <v>0.75</v>
      </c>
      <c r="L73" s="55">
        <v>0.31</v>
      </c>
      <c r="M73" s="55">
        <v>0.31</v>
      </c>
      <c r="N73" s="55"/>
    </row>
    <row r="74" spans="1:14">
      <c r="A74" s="55">
        <v>33</v>
      </c>
      <c r="B74" s="55" t="s">
        <v>352</v>
      </c>
      <c r="C74" s="55" t="s">
        <v>19</v>
      </c>
      <c r="D74" s="22">
        <v>66</v>
      </c>
      <c r="E74" s="22">
        <v>55</v>
      </c>
      <c r="F74" s="22">
        <v>66</v>
      </c>
      <c r="G74" s="22">
        <v>55</v>
      </c>
      <c r="H74" s="55">
        <v>20</v>
      </c>
      <c r="I74" s="55">
        <v>20</v>
      </c>
      <c r="J74" s="55">
        <v>0.73</v>
      </c>
      <c r="K74" s="55">
        <v>0.73</v>
      </c>
      <c r="L74" s="55">
        <v>0.72</v>
      </c>
      <c r="M74" s="55">
        <v>0.72</v>
      </c>
      <c r="N74" s="55"/>
    </row>
    <row r="75" spans="1:14">
      <c r="A75" s="55">
        <v>34</v>
      </c>
      <c r="B75" s="55" t="s">
        <v>639</v>
      </c>
      <c r="C75" s="55" t="s">
        <v>20</v>
      </c>
      <c r="D75" s="22">
        <v>66</v>
      </c>
      <c r="E75" s="22">
        <v>45</v>
      </c>
      <c r="F75" s="22">
        <v>66</v>
      </c>
      <c r="G75" s="22">
        <v>45</v>
      </c>
      <c r="H75" s="55">
        <v>46.67</v>
      </c>
      <c r="I75" s="55">
        <v>46.67</v>
      </c>
      <c r="J75" s="55">
        <v>0.73</v>
      </c>
      <c r="K75" s="55">
        <v>0.73</v>
      </c>
      <c r="L75" s="55">
        <v>0.59</v>
      </c>
      <c r="M75" s="55">
        <v>0.59</v>
      </c>
      <c r="N75" s="55"/>
    </row>
    <row r="76" spans="1:14">
      <c r="A76" s="55">
        <v>35</v>
      </c>
      <c r="B76" s="55" t="s">
        <v>376</v>
      </c>
      <c r="C76" s="55" t="s">
        <v>19</v>
      </c>
      <c r="D76" s="22">
        <v>65</v>
      </c>
      <c r="E76" s="22">
        <v>101</v>
      </c>
      <c r="F76" s="22">
        <v>65</v>
      </c>
      <c r="G76" s="22">
        <v>101</v>
      </c>
      <c r="H76" s="55">
        <v>-35.64</v>
      </c>
      <c r="I76" s="55">
        <v>-35.64</v>
      </c>
      <c r="J76" s="55">
        <v>0.72</v>
      </c>
      <c r="K76" s="55">
        <v>0.72</v>
      </c>
      <c r="L76" s="55">
        <v>1.32</v>
      </c>
      <c r="M76" s="55">
        <v>1.32</v>
      </c>
      <c r="N76" s="55"/>
    </row>
    <row r="77" spans="1:14">
      <c r="A77" s="55">
        <v>36</v>
      </c>
      <c r="B77" s="55" t="s">
        <v>40</v>
      </c>
      <c r="C77" s="55" t="s">
        <v>19</v>
      </c>
      <c r="D77" s="22">
        <v>65</v>
      </c>
      <c r="E77" s="22">
        <v>5</v>
      </c>
      <c r="F77" s="22">
        <v>65</v>
      </c>
      <c r="G77" s="22">
        <v>5</v>
      </c>
      <c r="H77" s="55">
        <v>1200</v>
      </c>
      <c r="I77" s="55">
        <v>1200</v>
      </c>
      <c r="J77" s="55">
        <v>0.72</v>
      </c>
      <c r="K77" s="55">
        <v>0.72</v>
      </c>
      <c r="L77" s="55">
        <v>7.0000000000000007E-2</v>
      </c>
      <c r="M77" s="55">
        <v>7.0000000000000007E-2</v>
      </c>
      <c r="N77" s="55"/>
    </row>
    <row r="78" spans="1:14">
      <c r="A78" s="55">
        <v>37</v>
      </c>
      <c r="B78" s="55" t="s">
        <v>387</v>
      </c>
      <c r="C78" s="55" t="s">
        <v>19</v>
      </c>
      <c r="D78" s="22">
        <v>63</v>
      </c>
      <c r="E78" s="22">
        <v>123</v>
      </c>
      <c r="F78" s="22">
        <v>63</v>
      </c>
      <c r="G78" s="22">
        <v>123</v>
      </c>
      <c r="H78" s="55">
        <v>-48.78</v>
      </c>
      <c r="I78" s="55">
        <v>-48.78</v>
      </c>
      <c r="J78" s="55">
        <v>0.7</v>
      </c>
      <c r="K78" s="55">
        <v>0.7</v>
      </c>
      <c r="L78" s="55">
        <v>1.61</v>
      </c>
      <c r="M78" s="55">
        <v>1.61</v>
      </c>
      <c r="N78" s="55"/>
    </row>
    <row r="79" spans="1:14">
      <c r="A79" s="55">
        <v>38</v>
      </c>
      <c r="B79" s="55" t="s">
        <v>903</v>
      </c>
      <c r="C79" s="55" t="s">
        <v>19</v>
      </c>
      <c r="D79" s="22">
        <v>63</v>
      </c>
      <c r="E79" s="22">
        <v>85</v>
      </c>
      <c r="F79" s="22">
        <v>63</v>
      </c>
      <c r="G79" s="22">
        <v>85</v>
      </c>
      <c r="H79" s="55">
        <v>-25.88</v>
      </c>
      <c r="I79" s="55">
        <v>-25.88</v>
      </c>
      <c r="J79" s="55">
        <v>0.7</v>
      </c>
      <c r="K79" s="55">
        <v>0.7</v>
      </c>
      <c r="L79" s="55">
        <v>1.1100000000000001</v>
      </c>
      <c r="M79" s="55">
        <v>1.1100000000000001</v>
      </c>
      <c r="N79" s="55"/>
    </row>
    <row r="80" spans="1:14">
      <c r="A80" s="55">
        <v>39</v>
      </c>
      <c r="B80" s="55" t="s">
        <v>215</v>
      </c>
      <c r="C80" s="55" t="s">
        <v>20</v>
      </c>
      <c r="D80" s="22">
        <v>62</v>
      </c>
      <c r="E80" s="22">
        <v>204</v>
      </c>
      <c r="F80" s="22">
        <v>62</v>
      </c>
      <c r="G80" s="22">
        <v>204</v>
      </c>
      <c r="H80" s="55">
        <v>-69.61</v>
      </c>
      <c r="I80" s="55">
        <v>-69.61</v>
      </c>
      <c r="J80" s="55">
        <v>0.69</v>
      </c>
      <c r="K80" s="55">
        <v>0.69</v>
      </c>
      <c r="L80" s="55">
        <v>2.67</v>
      </c>
      <c r="M80" s="55">
        <v>2.67</v>
      </c>
      <c r="N80" s="55"/>
    </row>
    <row r="81" spans="1:14">
      <c r="A81" s="55">
        <v>40</v>
      </c>
      <c r="B81" s="55" t="s">
        <v>596</v>
      </c>
      <c r="C81" s="55" t="s">
        <v>19</v>
      </c>
      <c r="D81" s="22">
        <v>61</v>
      </c>
      <c r="E81" s="22">
        <v>26</v>
      </c>
      <c r="F81" s="22">
        <v>61</v>
      </c>
      <c r="G81" s="22">
        <v>26</v>
      </c>
      <c r="H81" s="55">
        <v>134.62</v>
      </c>
      <c r="I81" s="55">
        <v>134.62</v>
      </c>
      <c r="J81" s="55">
        <v>0.68</v>
      </c>
      <c r="K81" s="55">
        <v>0.68</v>
      </c>
      <c r="L81" s="55">
        <v>0.34</v>
      </c>
      <c r="M81" s="55">
        <v>0.34</v>
      </c>
      <c r="N81" s="55"/>
    </row>
    <row r="82" spans="1:14">
      <c r="A82" s="55">
        <v>41</v>
      </c>
      <c r="B82" s="55" t="s">
        <v>589</v>
      </c>
      <c r="C82" s="55" t="s">
        <v>19</v>
      </c>
      <c r="D82" s="22">
        <v>60</v>
      </c>
      <c r="E82" s="22">
        <v>58</v>
      </c>
      <c r="F82" s="22">
        <v>60</v>
      </c>
      <c r="G82" s="22">
        <v>58</v>
      </c>
      <c r="H82" s="55">
        <v>3.45</v>
      </c>
      <c r="I82" s="55">
        <v>3.45</v>
      </c>
      <c r="J82" s="55">
        <v>0.67</v>
      </c>
      <c r="K82" s="55">
        <v>0.67</v>
      </c>
      <c r="L82" s="55">
        <v>0.76</v>
      </c>
      <c r="M82" s="55">
        <v>0.76</v>
      </c>
      <c r="N82" s="55"/>
    </row>
    <row r="83" spans="1:14">
      <c r="A83" s="55">
        <v>42</v>
      </c>
      <c r="B83" s="55" t="s">
        <v>630</v>
      </c>
      <c r="C83" s="55" t="s">
        <v>20</v>
      </c>
      <c r="D83" s="22">
        <v>60</v>
      </c>
      <c r="E83" s="22">
        <v>9</v>
      </c>
      <c r="F83" s="22">
        <v>60</v>
      </c>
      <c r="G83" s="22">
        <v>9</v>
      </c>
      <c r="H83" s="55">
        <v>566.66999999999996</v>
      </c>
      <c r="I83" s="55">
        <v>566.66999999999996</v>
      </c>
      <c r="J83" s="55">
        <v>0.67</v>
      </c>
      <c r="K83" s="55">
        <v>0.67</v>
      </c>
      <c r="L83" s="55">
        <v>0.12</v>
      </c>
      <c r="M83" s="55">
        <v>0.12</v>
      </c>
      <c r="N83" s="55"/>
    </row>
    <row r="84" spans="1:14">
      <c r="A84" s="55">
        <v>43</v>
      </c>
      <c r="B84" s="55" t="s">
        <v>1040</v>
      </c>
      <c r="C84" s="55" t="s">
        <v>20</v>
      </c>
      <c r="D84" s="22">
        <v>59</v>
      </c>
      <c r="E84" s="22">
        <v>0</v>
      </c>
      <c r="F84" s="22">
        <v>59</v>
      </c>
      <c r="G84" s="22">
        <v>0</v>
      </c>
      <c r="H84" s="55">
        <v>0</v>
      </c>
      <c r="I84" s="55">
        <v>0</v>
      </c>
      <c r="J84" s="55">
        <v>0.65</v>
      </c>
      <c r="K84" s="55">
        <v>0.65</v>
      </c>
      <c r="L84" s="55">
        <v>0</v>
      </c>
      <c r="M84" s="55">
        <v>0</v>
      </c>
      <c r="N84" s="55"/>
    </row>
    <row r="85" spans="1:14">
      <c r="A85" s="55">
        <v>44</v>
      </c>
      <c r="B85" s="55" t="s">
        <v>551</v>
      </c>
      <c r="C85" s="55" t="s">
        <v>20</v>
      </c>
      <c r="D85" s="22">
        <v>55</v>
      </c>
      <c r="E85" s="22">
        <v>17</v>
      </c>
      <c r="F85" s="22">
        <v>55</v>
      </c>
      <c r="G85" s="22">
        <v>17</v>
      </c>
      <c r="H85" s="55">
        <v>223.53</v>
      </c>
      <c r="I85" s="55">
        <v>223.53</v>
      </c>
      <c r="J85" s="55">
        <v>0.61</v>
      </c>
      <c r="K85" s="55">
        <v>0.61</v>
      </c>
      <c r="L85" s="55">
        <v>0.22</v>
      </c>
      <c r="M85" s="55">
        <v>0.22</v>
      </c>
      <c r="N85" s="55"/>
    </row>
    <row r="86" spans="1:14">
      <c r="A86" s="55">
        <v>45</v>
      </c>
      <c r="B86" s="55" t="s">
        <v>1011</v>
      </c>
      <c r="C86" s="55" t="s">
        <v>20</v>
      </c>
      <c r="D86" s="22">
        <v>55</v>
      </c>
      <c r="E86" s="22">
        <v>0</v>
      </c>
      <c r="F86" s="22">
        <v>55</v>
      </c>
      <c r="G86" s="22">
        <v>0</v>
      </c>
      <c r="H86" s="55">
        <v>0</v>
      </c>
      <c r="I86" s="55">
        <v>0</v>
      </c>
      <c r="J86" s="55">
        <v>0.61</v>
      </c>
      <c r="K86" s="55">
        <v>0.61</v>
      </c>
      <c r="L86" s="55">
        <v>0</v>
      </c>
      <c r="M86" s="55">
        <v>0</v>
      </c>
      <c r="N86" s="55"/>
    </row>
    <row r="87" spans="1:14">
      <c r="A87" s="55">
        <v>46</v>
      </c>
      <c r="B87" s="55" t="s">
        <v>585</v>
      </c>
      <c r="C87" s="55" t="s">
        <v>20</v>
      </c>
      <c r="D87" s="22">
        <v>54</v>
      </c>
      <c r="E87" s="22">
        <v>21</v>
      </c>
      <c r="F87" s="22">
        <v>54</v>
      </c>
      <c r="G87" s="22">
        <v>21</v>
      </c>
      <c r="H87" s="55">
        <v>157.13999999999999</v>
      </c>
      <c r="I87" s="55">
        <v>157.13999999999999</v>
      </c>
      <c r="J87" s="55">
        <v>0.6</v>
      </c>
      <c r="K87" s="55">
        <v>0.6</v>
      </c>
      <c r="L87" s="55">
        <v>0.28000000000000003</v>
      </c>
      <c r="M87" s="55">
        <v>0.28000000000000003</v>
      </c>
      <c r="N87" s="55"/>
    </row>
    <row r="88" spans="1:14">
      <c r="A88" s="55">
        <v>47</v>
      </c>
      <c r="B88" s="55" t="s">
        <v>366</v>
      </c>
      <c r="C88" s="55" t="s">
        <v>19</v>
      </c>
      <c r="D88" s="22">
        <v>51</v>
      </c>
      <c r="E88" s="22">
        <v>25</v>
      </c>
      <c r="F88" s="22">
        <v>51</v>
      </c>
      <c r="G88" s="22">
        <v>25</v>
      </c>
      <c r="H88" s="55">
        <v>104</v>
      </c>
      <c r="I88" s="55">
        <v>104</v>
      </c>
      <c r="J88" s="55">
        <v>0.56999999999999995</v>
      </c>
      <c r="K88" s="55">
        <v>0.56999999999999995</v>
      </c>
      <c r="L88" s="55">
        <v>0.33</v>
      </c>
      <c r="M88" s="55">
        <v>0.33</v>
      </c>
      <c r="N88" s="55"/>
    </row>
    <row r="89" spans="1:14">
      <c r="A89" s="55">
        <v>48</v>
      </c>
      <c r="B89" s="55" t="s">
        <v>530</v>
      </c>
      <c r="C89" s="55" t="s">
        <v>19</v>
      </c>
      <c r="D89" s="22">
        <v>45</v>
      </c>
      <c r="E89" s="22">
        <v>126</v>
      </c>
      <c r="F89" s="22">
        <v>45</v>
      </c>
      <c r="G89" s="22">
        <v>126</v>
      </c>
      <c r="H89" s="55">
        <v>-64.290000000000006</v>
      </c>
      <c r="I89" s="55">
        <v>-64.290000000000006</v>
      </c>
      <c r="J89" s="55">
        <v>0.5</v>
      </c>
      <c r="K89" s="55">
        <v>0.5</v>
      </c>
      <c r="L89" s="55">
        <v>1.65</v>
      </c>
      <c r="M89" s="55">
        <v>1.65</v>
      </c>
      <c r="N89" s="55"/>
    </row>
    <row r="90" spans="1:14">
      <c r="A90" s="55">
        <v>49</v>
      </c>
      <c r="B90" s="55" t="s">
        <v>214</v>
      </c>
      <c r="C90" s="55" t="s">
        <v>19</v>
      </c>
      <c r="D90" s="22">
        <v>43</v>
      </c>
      <c r="E90" s="22">
        <v>21</v>
      </c>
      <c r="F90" s="22">
        <v>43</v>
      </c>
      <c r="G90" s="22">
        <v>21</v>
      </c>
      <c r="H90" s="55">
        <v>104.76</v>
      </c>
      <c r="I90" s="55">
        <v>104.76</v>
      </c>
      <c r="J90" s="55">
        <v>0.48</v>
      </c>
      <c r="K90" s="55">
        <v>0.48</v>
      </c>
      <c r="L90" s="55">
        <v>0.28000000000000003</v>
      </c>
      <c r="M90" s="55">
        <v>0.28000000000000003</v>
      </c>
      <c r="N90" s="55"/>
    </row>
    <row r="91" spans="1:14">
      <c r="A91" s="55">
        <v>50</v>
      </c>
      <c r="B91" s="55" t="s">
        <v>221</v>
      </c>
      <c r="C91" s="55" t="s">
        <v>19</v>
      </c>
      <c r="D91" s="22">
        <v>39</v>
      </c>
      <c r="E91" s="22">
        <v>2</v>
      </c>
      <c r="F91" s="22">
        <v>39</v>
      </c>
      <c r="G91" s="22">
        <v>2</v>
      </c>
      <c r="H91" s="55">
        <v>1850</v>
      </c>
      <c r="I91" s="55">
        <v>1850</v>
      </c>
      <c r="J91" s="55">
        <v>0.43</v>
      </c>
      <c r="K91" s="55">
        <v>0.43</v>
      </c>
      <c r="L91" s="55">
        <v>0.03</v>
      </c>
      <c r="M91" s="55">
        <v>0.03</v>
      </c>
      <c r="N91" s="55"/>
    </row>
    <row r="92" spans="1:14">
      <c r="A92" s="55">
        <v>51</v>
      </c>
      <c r="B92" s="55" t="s">
        <v>115</v>
      </c>
      <c r="C92" s="55" t="s">
        <v>19</v>
      </c>
      <c r="D92" s="22">
        <v>38</v>
      </c>
      <c r="E92" s="22">
        <v>57</v>
      </c>
      <c r="F92" s="22">
        <v>38</v>
      </c>
      <c r="G92" s="22">
        <v>57</v>
      </c>
      <c r="H92" s="55">
        <v>-33.33</v>
      </c>
      <c r="I92" s="55">
        <v>-33.33</v>
      </c>
      <c r="J92" s="55">
        <v>0.42</v>
      </c>
      <c r="K92" s="55">
        <v>0.42</v>
      </c>
      <c r="L92" s="55">
        <v>0.75</v>
      </c>
      <c r="M92" s="55">
        <v>0.75</v>
      </c>
      <c r="N92" s="55"/>
    </row>
    <row r="93" spans="1:14">
      <c r="A93" s="55">
        <v>52</v>
      </c>
      <c r="B93" s="55" t="s">
        <v>942</v>
      </c>
      <c r="C93" s="55" t="s">
        <v>20</v>
      </c>
      <c r="D93" s="22">
        <v>38</v>
      </c>
      <c r="E93" s="22">
        <v>9</v>
      </c>
      <c r="F93" s="22">
        <v>38</v>
      </c>
      <c r="G93" s="22">
        <v>9</v>
      </c>
      <c r="H93" s="55">
        <v>322.22000000000003</v>
      </c>
      <c r="I93" s="55">
        <v>322.22000000000003</v>
      </c>
      <c r="J93" s="55">
        <v>0.42</v>
      </c>
      <c r="K93" s="55">
        <v>0.42</v>
      </c>
      <c r="L93" s="55">
        <v>0.12</v>
      </c>
      <c r="M93" s="55">
        <v>0.12</v>
      </c>
      <c r="N93" s="55"/>
    </row>
    <row r="94" spans="1:14">
      <c r="A94" s="55">
        <v>53</v>
      </c>
      <c r="B94" s="55" t="s">
        <v>925</v>
      </c>
      <c r="C94" s="55" t="s">
        <v>20</v>
      </c>
      <c r="D94" s="22">
        <v>36</v>
      </c>
      <c r="E94" s="22">
        <v>26</v>
      </c>
      <c r="F94" s="22">
        <v>36</v>
      </c>
      <c r="G94" s="22">
        <v>26</v>
      </c>
      <c r="H94" s="62">
        <v>38.46</v>
      </c>
      <c r="I94" s="62">
        <v>38.46</v>
      </c>
      <c r="J94" s="55">
        <v>0.4</v>
      </c>
      <c r="K94" s="55">
        <v>0.4</v>
      </c>
      <c r="L94" s="55">
        <v>0.34</v>
      </c>
      <c r="M94" s="55">
        <v>0.34</v>
      </c>
      <c r="N94" s="55"/>
    </row>
    <row r="95" spans="1:14">
      <c r="A95" s="55">
        <v>54</v>
      </c>
      <c r="B95" s="55" t="s">
        <v>1079</v>
      </c>
      <c r="C95" s="55" t="s">
        <v>20</v>
      </c>
      <c r="D95" s="22">
        <v>36</v>
      </c>
      <c r="E95" s="22">
        <v>0</v>
      </c>
      <c r="F95" s="22">
        <v>36</v>
      </c>
      <c r="G95" s="22">
        <v>0</v>
      </c>
      <c r="H95" s="78">
        <v>0</v>
      </c>
      <c r="I95" s="78">
        <v>0</v>
      </c>
      <c r="J95" s="55">
        <v>0.4</v>
      </c>
      <c r="K95" s="55">
        <v>0.4</v>
      </c>
      <c r="L95" s="55">
        <v>0</v>
      </c>
      <c r="M95" s="55">
        <v>0</v>
      </c>
      <c r="N95" s="55"/>
    </row>
    <row r="96" spans="1:14">
      <c r="A96" s="55">
        <v>55</v>
      </c>
      <c r="B96" s="55" t="s">
        <v>926</v>
      </c>
      <c r="C96" s="55" t="s">
        <v>20</v>
      </c>
      <c r="D96" s="22">
        <v>34</v>
      </c>
      <c r="E96" s="22">
        <v>33</v>
      </c>
      <c r="F96" s="22">
        <v>34</v>
      </c>
      <c r="G96" s="22">
        <v>33</v>
      </c>
      <c r="H96" s="55">
        <v>3.03</v>
      </c>
      <c r="I96" s="55">
        <v>3.03</v>
      </c>
      <c r="J96" s="55">
        <v>0.38</v>
      </c>
      <c r="K96" s="55">
        <v>0.38</v>
      </c>
      <c r="L96" s="55">
        <v>0.43</v>
      </c>
      <c r="M96" s="55">
        <v>0.43</v>
      </c>
      <c r="N96" s="55"/>
    </row>
    <row r="97" spans="1:14">
      <c r="A97" s="55">
        <v>56</v>
      </c>
      <c r="B97" s="55" t="s">
        <v>378</v>
      </c>
      <c r="C97" s="55" t="s">
        <v>19</v>
      </c>
      <c r="D97" s="22">
        <v>32</v>
      </c>
      <c r="E97" s="22">
        <v>11</v>
      </c>
      <c r="F97" s="22">
        <v>32</v>
      </c>
      <c r="G97" s="22">
        <v>11</v>
      </c>
      <c r="H97" s="55">
        <v>190.91</v>
      </c>
      <c r="I97" s="55">
        <v>190.91</v>
      </c>
      <c r="J97" s="55">
        <v>0.36</v>
      </c>
      <c r="K97" s="55">
        <v>0.36</v>
      </c>
      <c r="L97" s="55">
        <v>0.14000000000000001</v>
      </c>
      <c r="M97" s="55">
        <v>0.14000000000000001</v>
      </c>
      <c r="N97" s="55"/>
    </row>
    <row r="98" spans="1:14">
      <c r="A98" s="55">
        <v>57</v>
      </c>
      <c r="B98" s="55" t="s">
        <v>461</v>
      </c>
      <c r="C98" s="55" t="s">
        <v>20</v>
      </c>
      <c r="D98" s="22">
        <v>31</v>
      </c>
      <c r="E98" s="22">
        <v>42</v>
      </c>
      <c r="F98" s="22">
        <v>31</v>
      </c>
      <c r="G98" s="22">
        <v>42</v>
      </c>
      <c r="H98" s="55">
        <v>-26.19</v>
      </c>
      <c r="I98" s="55">
        <v>-26.19</v>
      </c>
      <c r="J98" s="55">
        <v>0.34</v>
      </c>
      <c r="K98" s="55">
        <v>0.34</v>
      </c>
      <c r="L98" s="55">
        <v>0.55000000000000004</v>
      </c>
      <c r="M98" s="55">
        <v>0.55000000000000004</v>
      </c>
      <c r="N98" s="55"/>
    </row>
    <row r="99" spans="1:14">
      <c r="A99" s="55">
        <v>58</v>
      </c>
      <c r="B99" s="55" t="s">
        <v>218</v>
      </c>
      <c r="C99" s="55" t="s">
        <v>19</v>
      </c>
      <c r="D99" s="22">
        <v>30</v>
      </c>
      <c r="E99" s="22">
        <v>62</v>
      </c>
      <c r="F99" s="22">
        <v>30</v>
      </c>
      <c r="G99" s="22">
        <v>62</v>
      </c>
      <c r="H99" s="55">
        <v>-51.61</v>
      </c>
      <c r="I99" s="55">
        <v>-51.61</v>
      </c>
      <c r="J99" s="55">
        <v>0.33</v>
      </c>
      <c r="K99" s="55">
        <v>0.33</v>
      </c>
      <c r="L99" s="55">
        <v>0.81</v>
      </c>
      <c r="M99" s="55">
        <v>0.81</v>
      </c>
      <c r="N99" s="55"/>
    </row>
    <row r="100" spans="1:14">
      <c r="A100" s="55">
        <v>59</v>
      </c>
      <c r="B100" s="55" t="s">
        <v>932</v>
      </c>
      <c r="C100" s="55" t="s">
        <v>20</v>
      </c>
      <c r="D100" s="22">
        <v>30</v>
      </c>
      <c r="E100" s="22">
        <v>18</v>
      </c>
      <c r="F100" s="22">
        <v>30</v>
      </c>
      <c r="G100" s="22">
        <v>18</v>
      </c>
      <c r="H100" s="55">
        <v>66.67</v>
      </c>
      <c r="I100" s="55">
        <v>66.67</v>
      </c>
      <c r="J100" s="55">
        <v>0.33</v>
      </c>
      <c r="K100" s="55">
        <v>0.33</v>
      </c>
      <c r="L100" s="55">
        <v>0.24</v>
      </c>
      <c r="M100" s="55">
        <v>0.24</v>
      </c>
      <c r="N100" s="55"/>
    </row>
    <row r="101" spans="1:14">
      <c r="A101" s="55">
        <v>60</v>
      </c>
      <c r="B101" s="55" t="s">
        <v>123</v>
      </c>
      <c r="C101" s="55" t="s">
        <v>19</v>
      </c>
      <c r="D101" s="22">
        <v>30</v>
      </c>
      <c r="E101" s="22">
        <v>5</v>
      </c>
      <c r="F101" s="22">
        <v>30</v>
      </c>
      <c r="G101" s="22">
        <v>5</v>
      </c>
      <c r="H101" s="55">
        <v>500</v>
      </c>
      <c r="I101" s="55">
        <v>500</v>
      </c>
      <c r="J101" s="55">
        <v>0.33</v>
      </c>
      <c r="K101" s="55">
        <v>0.33</v>
      </c>
      <c r="L101" s="55">
        <v>7.0000000000000007E-2</v>
      </c>
      <c r="M101" s="55">
        <v>7.0000000000000007E-2</v>
      </c>
      <c r="N101" s="55"/>
    </row>
    <row r="102" spans="1:14">
      <c r="A102" s="55">
        <v>61</v>
      </c>
      <c r="B102" s="55" t="s">
        <v>359</v>
      </c>
      <c r="C102" s="55" t="s">
        <v>19</v>
      </c>
      <c r="D102" s="22">
        <v>29</v>
      </c>
      <c r="E102" s="22">
        <v>105</v>
      </c>
      <c r="F102" s="22">
        <v>29</v>
      </c>
      <c r="G102" s="22">
        <v>105</v>
      </c>
      <c r="H102" s="55">
        <v>-72.38</v>
      </c>
      <c r="I102" s="55">
        <v>-72.38</v>
      </c>
      <c r="J102" s="55">
        <v>0.32</v>
      </c>
      <c r="K102" s="55">
        <v>0.32</v>
      </c>
      <c r="L102" s="55">
        <v>1.38</v>
      </c>
      <c r="M102" s="55">
        <v>1.38</v>
      </c>
      <c r="N102" s="55"/>
    </row>
    <row r="103" spans="1:14">
      <c r="A103" s="55">
        <v>62</v>
      </c>
      <c r="B103" s="55" t="s">
        <v>957</v>
      </c>
      <c r="C103" s="55" t="s">
        <v>20</v>
      </c>
      <c r="D103" s="22">
        <v>29</v>
      </c>
      <c r="E103" s="22">
        <v>7</v>
      </c>
      <c r="F103" s="22">
        <v>29</v>
      </c>
      <c r="G103" s="22">
        <v>7</v>
      </c>
      <c r="H103" s="55">
        <v>314.29000000000002</v>
      </c>
      <c r="I103" s="55">
        <v>314.29000000000002</v>
      </c>
      <c r="J103" s="55">
        <v>0.32</v>
      </c>
      <c r="K103" s="55">
        <v>0.32</v>
      </c>
      <c r="L103" s="55">
        <v>0.09</v>
      </c>
      <c r="M103" s="55">
        <v>0.09</v>
      </c>
      <c r="N103" s="55"/>
    </row>
    <row r="104" spans="1:14">
      <c r="A104" s="55">
        <v>63</v>
      </c>
      <c r="B104" s="55" t="s">
        <v>353</v>
      </c>
      <c r="C104" s="55" t="s">
        <v>19</v>
      </c>
      <c r="D104" s="22">
        <v>28</v>
      </c>
      <c r="E104" s="22">
        <v>30</v>
      </c>
      <c r="F104" s="22">
        <v>28</v>
      </c>
      <c r="G104" s="22">
        <v>30</v>
      </c>
      <c r="H104" s="55">
        <v>-6.67</v>
      </c>
      <c r="I104" s="55">
        <v>-6.67</v>
      </c>
      <c r="J104" s="55">
        <v>0.31</v>
      </c>
      <c r="K104" s="55">
        <v>0.31</v>
      </c>
      <c r="L104" s="55">
        <v>0.39</v>
      </c>
      <c r="M104" s="55">
        <v>0.39</v>
      </c>
      <c r="N104" s="55"/>
    </row>
    <row r="105" spans="1:14">
      <c r="A105" s="55">
        <v>64</v>
      </c>
      <c r="B105" s="55" t="s">
        <v>412</v>
      </c>
      <c r="C105" s="55" t="s">
        <v>20</v>
      </c>
      <c r="D105" s="22">
        <v>28</v>
      </c>
      <c r="E105" s="22">
        <v>13</v>
      </c>
      <c r="F105" s="22">
        <v>28</v>
      </c>
      <c r="G105" s="22">
        <v>13</v>
      </c>
      <c r="H105" s="55">
        <v>115.38</v>
      </c>
      <c r="I105" s="55">
        <v>115.38</v>
      </c>
      <c r="J105" s="55">
        <v>0.31</v>
      </c>
      <c r="K105" s="55">
        <v>0.31</v>
      </c>
      <c r="L105" s="55">
        <v>0.17</v>
      </c>
      <c r="M105" s="55">
        <v>0.17</v>
      </c>
      <c r="N105" s="55"/>
    </row>
    <row r="106" spans="1:14">
      <c r="A106" s="55">
        <v>65</v>
      </c>
      <c r="B106" s="55" t="s">
        <v>405</v>
      </c>
      <c r="C106" s="55" t="s">
        <v>19</v>
      </c>
      <c r="D106" s="22">
        <v>26</v>
      </c>
      <c r="E106" s="22">
        <v>1</v>
      </c>
      <c r="F106" s="22">
        <v>26</v>
      </c>
      <c r="G106" s="22">
        <v>1</v>
      </c>
      <c r="H106" s="55">
        <v>2500</v>
      </c>
      <c r="I106" s="55">
        <v>2500</v>
      </c>
      <c r="J106" s="55">
        <v>0.28999999999999998</v>
      </c>
      <c r="K106" s="55">
        <v>0.28999999999999998</v>
      </c>
      <c r="L106" s="55">
        <v>0.01</v>
      </c>
      <c r="M106" s="55">
        <v>0.01</v>
      </c>
      <c r="N106" s="55"/>
    </row>
    <row r="107" spans="1:14">
      <c r="A107" s="55">
        <v>66</v>
      </c>
      <c r="B107" s="55" t="s">
        <v>377</v>
      </c>
      <c r="C107" s="55" t="s">
        <v>20</v>
      </c>
      <c r="D107" s="22">
        <v>25</v>
      </c>
      <c r="E107" s="22">
        <v>27</v>
      </c>
      <c r="F107" s="22">
        <v>25</v>
      </c>
      <c r="G107" s="22">
        <v>27</v>
      </c>
      <c r="H107" s="55">
        <v>-7.41</v>
      </c>
      <c r="I107" s="55">
        <v>-7.41</v>
      </c>
      <c r="J107" s="55">
        <v>0.28000000000000003</v>
      </c>
      <c r="K107" s="55">
        <v>0.28000000000000003</v>
      </c>
      <c r="L107" s="55">
        <v>0.35</v>
      </c>
      <c r="M107" s="55">
        <v>0.35</v>
      </c>
      <c r="N107" s="55"/>
    </row>
    <row r="108" spans="1:14">
      <c r="A108" s="55">
        <v>67</v>
      </c>
      <c r="B108" s="55" t="s">
        <v>75</v>
      </c>
      <c r="C108" s="55" t="s">
        <v>19</v>
      </c>
      <c r="D108" s="22">
        <v>25</v>
      </c>
      <c r="E108" s="22">
        <v>15</v>
      </c>
      <c r="F108" s="22">
        <v>25</v>
      </c>
      <c r="G108" s="22">
        <v>15</v>
      </c>
      <c r="H108" s="55">
        <v>66.67</v>
      </c>
      <c r="I108" s="55">
        <v>66.67</v>
      </c>
      <c r="J108" s="55">
        <v>0.28000000000000003</v>
      </c>
      <c r="K108" s="55">
        <v>0.28000000000000003</v>
      </c>
      <c r="L108" s="55">
        <v>0.2</v>
      </c>
      <c r="M108" s="55">
        <v>0.2</v>
      </c>
      <c r="N108" s="55"/>
    </row>
    <row r="109" spans="1:14">
      <c r="A109" s="55">
        <v>68</v>
      </c>
      <c r="B109" s="55" t="s">
        <v>1115</v>
      </c>
      <c r="C109" s="55" t="s">
        <v>20</v>
      </c>
      <c r="D109" s="22">
        <v>25</v>
      </c>
      <c r="E109" s="22">
        <v>0</v>
      </c>
      <c r="F109" s="22">
        <v>25</v>
      </c>
      <c r="G109" s="22">
        <v>0</v>
      </c>
      <c r="H109" s="55">
        <v>0</v>
      </c>
      <c r="I109" s="55">
        <v>0</v>
      </c>
      <c r="J109" s="55">
        <v>0.28000000000000003</v>
      </c>
      <c r="K109" s="55">
        <v>0.28000000000000003</v>
      </c>
      <c r="L109" s="55">
        <v>0</v>
      </c>
      <c r="M109" s="55">
        <v>0</v>
      </c>
      <c r="N109" s="55"/>
    </row>
    <row r="110" spans="1:14">
      <c r="A110" s="55">
        <v>69</v>
      </c>
      <c r="B110" s="55" t="s">
        <v>389</v>
      </c>
      <c r="C110" s="55" t="s">
        <v>19</v>
      </c>
      <c r="D110" s="22">
        <v>24</v>
      </c>
      <c r="E110" s="22">
        <v>30</v>
      </c>
      <c r="F110" s="22">
        <v>24</v>
      </c>
      <c r="G110" s="22">
        <v>30</v>
      </c>
      <c r="H110" s="55">
        <v>-20</v>
      </c>
      <c r="I110" s="55">
        <v>-20</v>
      </c>
      <c r="J110" s="55">
        <v>0.27</v>
      </c>
      <c r="K110" s="55">
        <v>0.27</v>
      </c>
      <c r="L110" s="55">
        <v>0.39</v>
      </c>
      <c r="M110" s="55">
        <v>0.39</v>
      </c>
      <c r="N110" s="55"/>
    </row>
    <row r="111" spans="1:14">
      <c r="A111" s="55">
        <v>70</v>
      </c>
      <c r="B111" s="55" t="s">
        <v>360</v>
      </c>
      <c r="C111" s="55" t="s">
        <v>19</v>
      </c>
      <c r="D111" s="22">
        <v>23</v>
      </c>
      <c r="E111" s="22">
        <v>9</v>
      </c>
      <c r="F111" s="22">
        <v>23</v>
      </c>
      <c r="G111" s="22">
        <v>9</v>
      </c>
      <c r="H111" s="55">
        <v>155.56</v>
      </c>
      <c r="I111" s="55">
        <v>155.56</v>
      </c>
      <c r="J111" s="55">
        <v>0.26</v>
      </c>
      <c r="K111" s="55">
        <v>0.26</v>
      </c>
      <c r="L111" s="55">
        <v>0.12</v>
      </c>
      <c r="M111" s="55">
        <v>0.12</v>
      </c>
      <c r="N111" s="55"/>
    </row>
    <row r="112" spans="1:14">
      <c r="A112" s="55">
        <v>71</v>
      </c>
      <c r="B112" s="55" t="s">
        <v>459</v>
      </c>
      <c r="C112" s="55" t="s">
        <v>19</v>
      </c>
      <c r="D112" s="22">
        <v>23</v>
      </c>
      <c r="E112" s="22">
        <v>2</v>
      </c>
      <c r="F112" s="22">
        <v>23</v>
      </c>
      <c r="G112" s="22">
        <v>2</v>
      </c>
      <c r="H112" s="55">
        <v>1050</v>
      </c>
      <c r="I112" s="55">
        <v>1050</v>
      </c>
      <c r="J112" s="55">
        <v>0.26</v>
      </c>
      <c r="K112" s="55">
        <v>0.26</v>
      </c>
      <c r="L112" s="55">
        <v>0.03</v>
      </c>
      <c r="M112" s="55">
        <v>0.03</v>
      </c>
      <c r="N112" s="55"/>
    </row>
    <row r="113" spans="1:14">
      <c r="A113" s="55">
        <v>72</v>
      </c>
      <c r="B113" s="55" t="s">
        <v>1097</v>
      </c>
      <c r="C113" s="55" t="s">
        <v>20</v>
      </c>
      <c r="D113" s="22">
        <v>23</v>
      </c>
      <c r="E113" s="22">
        <v>0</v>
      </c>
      <c r="F113" s="22">
        <v>23</v>
      </c>
      <c r="G113" s="22">
        <v>0</v>
      </c>
      <c r="H113" s="55">
        <v>0</v>
      </c>
      <c r="I113" s="55">
        <v>0</v>
      </c>
      <c r="J113" s="55">
        <v>0.26</v>
      </c>
      <c r="K113" s="55">
        <v>0.26</v>
      </c>
      <c r="L113" s="55">
        <v>0</v>
      </c>
      <c r="M113" s="55">
        <v>0</v>
      </c>
      <c r="N113" s="55"/>
    </row>
    <row r="114" spans="1:14">
      <c r="A114" s="55">
        <v>73</v>
      </c>
      <c r="B114" s="55" t="s">
        <v>380</v>
      </c>
      <c r="C114" s="55" t="s">
        <v>19</v>
      </c>
      <c r="D114" s="22">
        <v>22</v>
      </c>
      <c r="E114" s="22">
        <v>23</v>
      </c>
      <c r="F114" s="22">
        <v>22</v>
      </c>
      <c r="G114" s="22">
        <v>23</v>
      </c>
      <c r="H114" s="55">
        <v>-4.3499999999999996</v>
      </c>
      <c r="I114" s="55">
        <v>-4.3499999999999996</v>
      </c>
      <c r="J114" s="55">
        <v>0.24</v>
      </c>
      <c r="K114" s="55">
        <v>0.24</v>
      </c>
      <c r="L114" s="55">
        <v>0.3</v>
      </c>
      <c r="M114" s="55">
        <v>0.3</v>
      </c>
      <c r="N114" s="55"/>
    </row>
    <row r="115" spans="1:14">
      <c r="A115" s="55">
        <v>74</v>
      </c>
      <c r="B115" s="55" t="s">
        <v>372</v>
      </c>
      <c r="C115" s="55" t="s">
        <v>20</v>
      </c>
      <c r="D115" s="22">
        <v>22</v>
      </c>
      <c r="E115" s="22">
        <v>11</v>
      </c>
      <c r="F115" s="22">
        <v>22</v>
      </c>
      <c r="G115" s="22">
        <v>11</v>
      </c>
      <c r="H115" s="55">
        <v>100</v>
      </c>
      <c r="I115" s="55">
        <v>100</v>
      </c>
      <c r="J115" s="55">
        <v>0.24</v>
      </c>
      <c r="K115" s="55">
        <v>0.24</v>
      </c>
      <c r="L115" s="55">
        <v>0.14000000000000001</v>
      </c>
      <c r="M115" s="55">
        <v>0.14000000000000001</v>
      </c>
      <c r="N115" s="55"/>
    </row>
    <row r="116" spans="1:14">
      <c r="A116" s="55">
        <v>75</v>
      </c>
      <c r="B116" s="55" t="s">
        <v>980</v>
      </c>
      <c r="C116" s="55" t="s">
        <v>19</v>
      </c>
      <c r="D116" s="22">
        <v>22</v>
      </c>
      <c r="E116" s="22">
        <v>1</v>
      </c>
      <c r="F116" s="22">
        <v>22</v>
      </c>
      <c r="G116" s="22">
        <v>1</v>
      </c>
      <c r="H116" s="55">
        <v>2100</v>
      </c>
      <c r="I116" s="55">
        <v>2100</v>
      </c>
      <c r="J116" s="55">
        <v>0.24</v>
      </c>
      <c r="K116" s="55">
        <v>0.24</v>
      </c>
      <c r="L116" s="55">
        <v>0.01</v>
      </c>
      <c r="M116" s="55">
        <v>0.01</v>
      </c>
      <c r="N116" s="55"/>
    </row>
    <row r="117" spans="1:14">
      <c r="A117" s="55">
        <v>76</v>
      </c>
      <c r="B117" s="55" t="s">
        <v>634</v>
      </c>
      <c r="C117" s="55" t="s">
        <v>20</v>
      </c>
      <c r="D117" s="22">
        <v>20</v>
      </c>
      <c r="E117" s="22">
        <v>81</v>
      </c>
      <c r="F117" s="22">
        <v>20</v>
      </c>
      <c r="G117" s="22">
        <v>81</v>
      </c>
      <c r="H117" s="55">
        <v>-75.31</v>
      </c>
      <c r="I117" s="55">
        <v>-75.31</v>
      </c>
      <c r="J117" s="55">
        <v>0.22</v>
      </c>
      <c r="K117" s="55">
        <v>0.22</v>
      </c>
      <c r="L117" s="55">
        <v>1.06</v>
      </c>
      <c r="M117" s="55">
        <v>1.06</v>
      </c>
      <c r="N117" s="55"/>
    </row>
    <row r="118" spans="1:14">
      <c r="A118" s="55">
        <v>77</v>
      </c>
      <c r="B118" s="55" t="s">
        <v>562</v>
      </c>
      <c r="C118" s="55" t="s">
        <v>20</v>
      </c>
      <c r="D118" s="22">
        <v>20</v>
      </c>
      <c r="E118" s="22">
        <v>17</v>
      </c>
      <c r="F118" s="22">
        <v>20</v>
      </c>
      <c r="G118" s="22">
        <v>17</v>
      </c>
      <c r="H118" s="55">
        <v>17.649999999999999</v>
      </c>
      <c r="I118" s="55">
        <v>17.649999999999999</v>
      </c>
      <c r="J118" s="55">
        <v>0.22</v>
      </c>
      <c r="K118" s="55">
        <v>0.22</v>
      </c>
      <c r="L118" s="55">
        <v>0.22</v>
      </c>
      <c r="M118" s="55">
        <v>0.22</v>
      </c>
      <c r="N118" s="55"/>
    </row>
    <row r="119" spans="1:14">
      <c r="A119" s="55">
        <v>78</v>
      </c>
      <c r="B119" s="55" t="s">
        <v>451</v>
      </c>
      <c r="C119" s="55" t="s">
        <v>19</v>
      </c>
      <c r="D119" s="22">
        <v>19</v>
      </c>
      <c r="E119" s="22">
        <v>178</v>
      </c>
      <c r="F119" s="22">
        <v>19</v>
      </c>
      <c r="G119" s="22">
        <v>178</v>
      </c>
      <c r="H119" s="55">
        <v>-89.33</v>
      </c>
      <c r="I119" s="55">
        <v>-89.33</v>
      </c>
      <c r="J119" s="55">
        <v>0.21</v>
      </c>
      <c r="K119" s="55">
        <v>0.21</v>
      </c>
      <c r="L119" s="55">
        <v>2.33</v>
      </c>
      <c r="M119" s="55">
        <v>2.33</v>
      </c>
      <c r="N119" s="55"/>
    </row>
    <row r="120" spans="1:14">
      <c r="A120" s="55">
        <v>79</v>
      </c>
      <c r="B120" s="55" t="s">
        <v>343</v>
      </c>
      <c r="C120" s="55" t="s">
        <v>20</v>
      </c>
      <c r="D120" s="22">
        <v>18</v>
      </c>
      <c r="E120" s="22">
        <v>102</v>
      </c>
      <c r="F120" s="22">
        <v>18</v>
      </c>
      <c r="G120" s="22">
        <v>102</v>
      </c>
      <c r="H120" s="55">
        <v>-82.35</v>
      </c>
      <c r="I120" s="55">
        <v>-82.35</v>
      </c>
      <c r="J120" s="55">
        <v>0.2</v>
      </c>
      <c r="K120" s="55">
        <v>0.2</v>
      </c>
      <c r="L120" s="55">
        <v>1.34</v>
      </c>
      <c r="M120" s="55">
        <v>1.34</v>
      </c>
      <c r="N120" s="55"/>
    </row>
    <row r="121" spans="1:14">
      <c r="A121" s="55">
        <v>80</v>
      </c>
      <c r="B121" s="55" t="s">
        <v>458</v>
      </c>
      <c r="C121" s="55" t="s">
        <v>19</v>
      </c>
      <c r="D121" s="22">
        <v>18</v>
      </c>
      <c r="E121" s="22">
        <v>2</v>
      </c>
      <c r="F121" s="22">
        <v>18</v>
      </c>
      <c r="G121" s="22">
        <v>2</v>
      </c>
      <c r="H121" s="55">
        <v>800</v>
      </c>
      <c r="I121" s="55">
        <v>800</v>
      </c>
      <c r="J121" s="55">
        <v>0.2</v>
      </c>
      <c r="K121" s="55">
        <v>0.2</v>
      </c>
      <c r="L121" s="55">
        <v>0.03</v>
      </c>
      <c r="M121" s="55">
        <v>0.03</v>
      </c>
      <c r="N121" s="55"/>
    </row>
    <row r="122" spans="1:14">
      <c r="A122" s="55">
        <v>81</v>
      </c>
      <c r="B122" s="55" t="s">
        <v>945</v>
      </c>
      <c r="C122" s="55" t="s">
        <v>20</v>
      </c>
      <c r="D122" s="22">
        <v>17</v>
      </c>
      <c r="E122" s="22">
        <v>110</v>
      </c>
      <c r="F122" s="22">
        <v>17</v>
      </c>
      <c r="G122" s="22">
        <v>110</v>
      </c>
      <c r="H122" s="55">
        <v>-84.55</v>
      </c>
      <c r="I122" s="55">
        <v>-84.55</v>
      </c>
      <c r="J122" s="55">
        <v>0.19</v>
      </c>
      <c r="K122" s="55">
        <v>0.19</v>
      </c>
      <c r="L122" s="55">
        <v>1.44</v>
      </c>
      <c r="M122" s="55">
        <v>1.44</v>
      </c>
      <c r="N122" s="55"/>
    </row>
    <row r="123" spans="1:14">
      <c r="A123" s="55">
        <v>82</v>
      </c>
      <c r="B123" s="55" t="s">
        <v>463</v>
      </c>
      <c r="C123" s="55" t="s">
        <v>19</v>
      </c>
      <c r="D123" s="22">
        <v>17</v>
      </c>
      <c r="E123" s="22">
        <v>8</v>
      </c>
      <c r="F123" s="22">
        <v>17</v>
      </c>
      <c r="G123" s="22">
        <v>8</v>
      </c>
      <c r="H123" s="55">
        <v>112.5</v>
      </c>
      <c r="I123" s="55">
        <v>112.5</v>
      </c>
      <c r="J123" s="55">
        <v>0.19</v>
      </c>
      <c r="K123" s="55">
        <v>0.19</v>
      </c>
      <c r="L123" s="55">
        <v>0.1</v>
      </c>
      <c r="M123" s="55">
        <v>0.1</v>
      </c>
      <c r="N123" s="55"/>
    </row>
    <row r="124" spans="1:14">
      <c r="A124" s="55">
        <v>83</v>
      </c>
      <c r="B124" s="55" t="s">
        <v>586</v>
      </c>
      <c r="C124" s="55" t="s">
        <v>20</v>
      </c>
      <c r="D124" s="22">
        <v>13</v>
      </c>
      <c r="E124" s="22">
        <v>39</v>
      </c>
      <c r="F124" s="22">
        <v>13</v>
      </c>
      <c r="G124" s="22">
        <v>39</v>
      </c>
      <c r="H124" s="55">
        <v>-66.67</v>
      </c>
      <c r="I124" s="55">
        <v>-66.67</v>
      </c>
      <c r="J124" s="55">
        <v>0.14000000000000001</v>
      </c>
      <c r="K124" s="55">
        <v>0.14000000000000001</v>
      </c>
      <c r="L124" s="55">
        <v>0.51</v>
      </c>
      <c r="M124" s="55">
        <v>0.51</v>
      </c>
      <c r="N124" s="55"/>
    </row>
    <row r="125" spans="1:14">
      <c r="A125" s="55">
        <v>84</v>
      </c>
      <c r="B125" s="55" t="s">
        <v>409</v>
      </c>
      <c r="C125" s="55" t="s">
        <v>20</v>
      </c>
      <c r="D125" s="22">
        <v>13</v>
      </c>
      <c r="E125" s="22">
        <v>0</v>
      </c>
      <c r="F125" s="22">
        <v>13</v>
      </c>
      <c r="G125" s="22">
        <v>0</v>
      </c>
      <c r="H125" s="55">
        <v>0</v>
      </c>
      <c r="I125" s="55">
        <v>0</v>
      </c>
      <c r="J125" s="55">
        <v>0.14000000000000001</v>
      </c>
      <c r="K125" s="55">
        <v>0.14000000000000001</v>
      </c>
      <c r="L125" s="55">
        <v>0</v>
      </c>
      <c r="M125" s="55">
        <v>0</v>
      </c>
      <c r="N125" s="55"/>
    </row>
    <row r="126" spans="1:14">
      <c r="A126" s="55">
        <v>85</v>
      </c>
      <c r="B126" s="55" t="s">
        <v>959</v>
      </c>
      <c r="C126" s="55" t="s">
        <v>19</v>
      </c>
      <c r="D126" s="22">
        <v>12</v>
      </c>
      <c r="E126" s="22">
        <v>19</v>
      </c>
      <c r="F126" s="22">
        <v>12</v>
      </c>
      <c r="G126" s="22">
        <v>19</v>
      </c>
      <c r="H126" s="55">
        <v>-36.840000000000003</v>
      </c>
      <c r="I126" s="55">
        <v>-36.840000000000003</v>
      </c>
      <c r="J126" s="55">
        <v>0.13</v>
      </c>
      <c r="K126" s="55">
        <v>0.13</v>
      </c>
      <c r="L126" s="55">
        <v>0.25</v>
      </c>
      <c r="M126" s="55">
        <v>0.25</v>
      </c>
      <c r="N126" s="55"/>
    </row>
    <row r="127" spans="1:14">
      <c r="A127" s="55">
        <v>86</v>
      </c>
      <c r="B127" s="55" t="s">
        <v>219</v>
      </c>
      <c r="C127" s="55" t="s">
        <v>19</v>
      </c>
      <c r="D127" s="22">
        <v>12</v>
      </c>
      <c r="E127" s="22">
        <v>18</v>
      </c>
      <c r="F127" s="22">
        <v>12</v>
      </c>
      <c r="G127" s="22">
        <v>18</v>
      </c>
      <c r="H127" s="55">
        <v>-33.33</v>
      </c>
      <c r="I127" s="55">
        <v>-33.33</v>
      </c>
      <c r="J127" s="55">
        <v>0.13</v>
      </c>
      <c r="K127" s="55">
        <v>0.13</v>
      </c>
      <c r="L127" s="55">
        <v>0.24</v>
      </c>
      <c r="M127" s="55">
        <v>0.24</v>
      </c>
      <c r="N127" s="55"/>
    </row>
    <row r="128" spans="1:14">
      <c r="A128" s="55">
        <v>87</v>
      </c>
      <c r="B128" s="55" t="s">
        <v>1081</v>
      </c>
      <c r="C128" s="55" t="s">
        <v>20</v>
      </c>
      <c r="D128" s="22">
        <v>12</v>
      </c>
      <c r="E128" s="22">
        <v>0</v>
      </c>
      <c r="F128" s="22">
        <v>12</v>
      </c>
      <c r="G128" s="22">
        <v>0</v>
      </c>
      <c r="H128" s="55">
        <v>0</v>
      </c>
      <c r="I128" s="55">
        <v>0</v>
      </c>
      <c r="J128" s="55">
        <v>0.13</v>
      </c>
      <c r="K128" s="55">
        <v>0.13</v>
      </c>
      <c r="L128" s="55">
        <v>0</v>
      </c>
      <c r="M128" s="55">
        <v>0</v>
      </c>
      <c r="N128" s="55"/>
    </row>
    <row r="129" spans="1:14">
      <c r="A129" s="55">
        <v>88</v>
      </c>
      <c r="B129" s="55" t="s">
        <v>547</v>
      </c>
      <c r="C129" s="55" t="s">
        <v>20</v>
      </c>
      <c r="D129" s="22">
        <v>12</v>
      </c>
      <c r="E129" s="22">
        <v>0</v>
      </c>
      <c r="F129" s="22">
        <v>12</v>
      </c>
      <c r="G129" s="22">
        <v>0</v>
      </c>
      <c r="H129" s="55">
        <v>0</v>
      </c>
      <c r="I129" s="55">
        <v>0</v>
      </c>
      <c r="J129" s="55">
        <v>0.13</v>
      </c>
      <c r="K129" s="55">
        <v>0.13</v>
      </c>
      <c r="L129" s="55">
        <v>0</v>
      </c>
      <c r="M129" s="55">
        <v>0</v>
      </c>
      <c r="N129" s="55"/>
    </row>
    <row r="130" spans="1:14">
      <c r="A130" s="55">
        <v>89</v>
      </c>
      <c r="B130" s="55" t="s">
        <v>998</v>
      </c>
      <c r="C130" s="55" t="s">
        <v>19</v>
      </c>
      <c r="D130" s="22">
        <v>12</v>
      </c>
      <c r="E130" s="22">
        <v>0</v>
      </c>
      <c r="F130" s="22">
        <v>12</v>
      </c>
      <c r="G130" s="22">
        <v>0</v>
      </c>
      <c r="H130" s="55">
        <v>0</v>
      </c>
      <c r="I130" s="55">
        <v>0</v>
      </c>
      <c r="J130" s="55">
        <v>0.13</v>
      </c>
      <c r="K130" s="55">
        <v>0.13</v>
      </c>
      <c r="L130" s="55">
        <v>0</v>
      </c>
      <c r="M130" s="55">
        <v>0</v>
      </c>
      <c r="N130" s="55"/>
    </row>
    <row r="131" spans="1:14">
      <c r="A131" s="55">
        <v>90</v>
      </c>
      <c r="B131" s="55" t="s">
        <v>999</v>
      </c>
      <c r="C131" s="55" t="s">
        <v>20</v>
      </c>
      <c r="D131" s="22">
        <v>12</v>
      </c>
      <c r="E131" s="22">
        <v>0</v>
      </c>
      <c r="F131" s="22">
        <v>12</v>
      </c>
      <c r="G131" s="22">
        <v>0</v>
      </c>
      <c r="H131" s="55">
        <v>0</v>
      </c>
      <c r="I131" s="55">
        <v>0</v>
      </c>
      <c r="J131" s="55">
        <v>0.13</v>
      </c>
      <c r="K131" s="55">
        <v>0.13</v>
      </c>
      <c r="L131" s="55">
        <v>0</v>
      </c>
      <c r="M131" s="55">
        <v>0</v>
      </c>
      <c r="N131" s="55"/>
    </row>
    <row r="132" spans="1:14">
      <c r="A132" s="55">
        <v>91</v>
      </c>
      <c r="B132" s="55" t="s">
        <v>577</v>
      </c>
      <c r="C132" s="55" t="s">
        <v>19</v>
      </c>
      <c r="D132" s="22">
        <v>11</v>
      </c>
      <c r="E132" s="22">
        <v>13</v>
      </c>
      <c r="F132" s="22">
        <v>11</v>
      </c>
      <c r="G132" s="22">
        <v>13</v>
      </c>
      <c r="H132" s="55">
        <v>-15.38</v>
      </c>
      <c r="I132" s="55">
        <v>-15.38</v>
      </c>
      <c r="J132" s="55">
        <v>0.12</v>
      </c>
      <c r="K132" s="55">
        <v>0.12</v>
      </c>
      <c r="L132" s="55">
        <v>0.17</v>
      </c>
      <c r="M132" s="55">
        <v>0.17</v>
      </c>
      <c r="N132" s="55"/>
    </row>
    <row r="133" spans="1:14">
      <c r="A133" s="55">
        <v>92</v>
      </c>
      <c r="B133" s="55" t="s">
        <v>164</v>
      </c>
      <c r="C133" s="55" t="s">
        <v>19</v>
      </c>
      <c r="D133" s="22">
        <v>11</v>
      </c>
      <c r="E133" s="22">
        <v>9</v>
      </c>
      <c r="F133" s="22">
        <v>11</v>
      </c>
      <c r="G133" s="22">
        <v>9</v>
      </c>
      <c r="H133" s="55">
        <v>22.22</v>
      </c>
      <c r="I133" s="55">
        <v>22.22</v>
      </c>
      <c r="J133" s="55">
        <v>0.12</v>
      </c>
      <c r="K133" s="55">
        <v>0.12</v>
      </c>
      <c r="L133" s="55">
        <v>0.12</v>
      </c>
      <c r="M133" s="55">
        <v>0.12</v>
      </c>
      <c r="N133" s="55"/>
    </row>
    <row r="134" spans="1:14">
      <c r="A134" s="55">
        <v>93</v>
      </c>
      <c r="B134" s="55" t="s">
        <v>1065</v>
      </c>
      <c r="C134" s="55" t="s">
        <v>19</v>
      </c>
      <c r="D134" s="22">
        <v>11</v>
      </c>
      <c r="E134" s="22">
        <v>0</v>
      </c>
      <c r="F134" s="22">
        <v>11</v>
      </c>
      <c r="G134" s="22">
        <v>0</v>
      </c>
      <c r="H134" s="55">
        <v>0</v>
      </c>
      <c r="I134" s="55">
        <v>0</v>
      </c>
      <c r="J134" s="55">
        <v>0.12</v>
      </c>
      <c r="K134" s="55">
        <v>0.12</v>
      </c>
      <c r="L134" s="55">
        <v>0</v>
      </c>
      <c r="M134" s="55">
        <v>0</v>
      </c>
      <c r="N134" s="55"/>
    </row>
    <row r="135" spans="1:14">
      <c r="A135" s="55">
        <v>94</v>
      </c>
      <c r="B135" s="55" t="s">
        <v>1091</v>
      </c>
      <c r="C135" s="55" t="s">
        <v>20</v>
      </c>
      <c r="D135" s="22">
        <v>11</v>
      </c>
      <c r="E135" s="22">
        <v>0</v>
      </c>
      <c r="F135" s="22">
        <v>11</v>
      </c>
      <c r="G135" s="22">
        <v>0</v>
      </c>
      <c r="H135" s="55">
        <v>0</v>
      </c>
      <c r="I135" s="55">
        <v>0</v>
      </c>
      <c r="J135" s="55">
        <v>0.12</v>
      </c>
      <c r="K135" s="55">
        <v>0.12</v>
      </c>
      <c r="L135" s="55">
        <v>0</v>
      </c>
      <c r="M135" s="55">
        <v>0</v>
      </c>
      <c r="N135" s="55"/>
    </row>
    <row r="136" spans="1:14">
      <c r="A136" s="55">
        <v>95</v>
      </c>
      <c r="B136" s="55" t="s">
        <v>636</v>
      </c>
      <c r="C136" s="55" t="s">
        <v>20</v>
      </c>
      <c r="D136" s="22">
        <v>9</v>
      </c>
      <c r="E136" s="22">
        <v>38</v>
      </c>
      <c r="F136" s="22">
        <v>9</v>
      </c>
      <c r="G136" s="22">
        <v>38</v>
      </c>
      <c r="H136" s="55">
        <v>-76.319999999999993</v>
      </c>
      <c r="I136" s="55">
        <v>-76.319999999999993</v>
      </c>
      <c r="J136" s="55">
        <v>0.1</v>
      </c>
      <c r="K136" s="55">
        <v>0.1</v>
      </c>
      <c r="L136" s="55">
        <v>0.5</v>
      </c>
      <c r="M136" s="55">
        <v>0.5</v>
      </c>
      <c r="N136" s="55"/>
    </row>
    <row r="137" spans="1:14">
      <c r="A137" s="55">
        <v>96</v>
      </c>
      <c r="B137" s="55" t="s">
        <v>146</v>
      </c>
      <c r="C137" s="55" t="s">
        <v>19</v>
      </c>
      <c r="D137" s="22">
        <v>9</v>
      </c>
      <c r="E137" s="22">
        <v>11</v>
      </c>
      <c r="F137" s="22">
        <v>9</v>
      </c>
      <c r="G137" s="22">
        <v>11</v>
      </c>
      <c r="H137" s="55">
        <v>-18.18</v>
      </c>
      <c r="I137" s="55">
        <v>-18.18</v>
      </c>
      <c r="J137" s="55">
        <v>0.1</v>
      </c>
      <c r="K137" s="55">
        <v>0.1</v>
      </c>
      <c r="L137" s="55">
        <v>0.14000000000000001</v>
      </c>
      <c r="M137" s="55">
        <v>0.14000000000000001</v>
      </c>
      <c r="N137" s="55"/>
    </row>
    <row r="138" spans="1:14">
      <c r="A138" s="55">
        <v>97</v>
      </c>
      <c r="B138" s="55" t="s">
        <v>220</v>
      </c>
      <c r="C138" s="55" t="s">
        <v>19</v>
      </c>
      <c r="D138" s="22">
        <v>9</v>
      </c>
      <c r="E138" s="22">
        <v>0</v>
      </c>
      <c r="F138" s="22">
        <v>9</v>
      </c>
      <c r="G138" s="22">
        <v>0</v>
      </c>
      <c r="H138" s="55">
        <v>0</v>
      </c>
      <c r="I138" s="55">
        <v>0</v>
      </c>
      <c r="J138" s="55">
        <v>0.1</v>
      </c>
      <c r="K138" s="55">
        <v>0.1</v>
      </c>
      <c r="L138" s="55">
        <v>0</v>
      </c>
      <c r="M138" s="55">
        <v>0</v>
      </c>
      <c r="N138" s="55"/>
    </row>
    <row r="139" spans="1:14">
      <c r="A139" s="55">
        <v>98</v>
      </c>
      <c r="B139" s="55" t="s">
        <v>1000</v>
      </c>
      <c r="C139" s="55" t="s">
        <v>20</v>
      </c>
      <c r="D139" s="22">
        <v>9</v>
      </c>
      <c r="E139" s="22">
        <v>0</v>
      </c>
      <c r="F139" s="22">
        <v>9</v>
      </c>
      <c r="G139" s="22">
        <v>0</v>
      </c>
      <c r="H139" s="55">
        <v>0</v>
      </c>
      <c r="I139" s="55">
        <v>0</v>
      </c>
      <c r="J139" s="55">
        <v>0.1</v>
      </c>
      <c r="K139" s="55">
        <v>0.1</v>
      </c>
      <c r="L139" s="55">
        <v>0</v>
      </c>
      <c r="M139" s="55">
        <v>0</v>
      </c>
      <c r="N139" s="55"/>
    </row>
    <row r="140" spans="1:14">
      <c r="A140" s="55">
        <v>99</v>
      </c>
      <c r="B140" s="55" t="s">
        <v>457</v>
      </c>
      <c r="C140" s="55" t="s">
        <v>19</v>
      </c>
      <c r="D140" s="22">
        <v>9</v>
      </c>
      <c r="E140" s="22">
        <v>0</v>
      </c>
      <c r="F140" s="22">
        <v>9</v>
      </c>
      <c r="G140" s="22">
        <v>0</v>
      </c>
      <c r="H140" s="55">
        <v>0</v>
      </c>
      <c r="I140" s="55">
        <v>0</v>
      </c>
      <c r="J140" s="55">
        <v>0.1</v>
      </c>
      <c r="K140" s="55">
        <v>0.1</v>
      </c>
      <c r="L140" s="55">
        <v>0</v>
      </c>
      <c r="M140" s="55">
        <v>0</v>
      </c>
      <c r="N140" s="55"/>
    </row>
    <row r="141" spans="1:14">
      <c r="A141" s="55">
        <v>100</v>
      </c>
      <c r="B141" s="55" t="s">
        <v>550</v>
      </c>
      <c r="C141" s="55" t="s">
        <v>19</v>
      </c>
      <c r="D141" s="22">
        <v>8</v>
      </c>
      <c r="E141" s="22">
        <v>10</v>
      </c>
      <c r="F141" s="22">
        <v>8</v>
      </c>
      <c r="G141" s="22">
        <v>10</v>
      </c>
      <c r="H141" s="55">
        <v>-20</v>
      </c>
      <c r="I141" s="55">
        <v>-20</v>
      </c>
      <c r="J141" s="55">
        <v>0.09</v>
      </c>
      <c r="K141" s="55">
        <v>0.09</v>
      </c>
      <c r="L141" s="55">
        <v>0.13</v>
      </c>
      <c r="M141" s="55">
        <v>0.13</v>
      </c>
      <c r="N141" s="55"/>
    </row>
    <row r="142" spans="1:14">
      <c r="A142" s="55">
        <v>101</v>
      </c>
      <c r="B142" s="55" t="s">
        <v>592</v>
      </c>
      <c r="C142" s="55" t="s">
        <v>20</v>
      </c>
      <c r="D142" s="22">
        <v>8</v>
      </c>
      <c r="E142" s="22">
        <v>0</v>
      </c>
      <c r="F142" s="22">
        <v>8</v>
      </c>
      <c r="G142" s="22">
        <v>0</v>
      </c>
      <c r="H142" s="55">
        <v>0</v>
      </c>
      <c r="I142" s="55">
        <v>0</v>
      </c>
      <c r="J142" s="55">
        <v>0.09</v>
      </c>
      <c r="K142" s="55">
        <v>0.09</v>
      </c>
      <c r="L142" s="55">
        <v>0</v>
      </c>
      <c r="M142" s="55">
        <v>0</v>
      </c>
      <c r="N142" s="55"/>
    </row>
    <row r="143" spans="1:14">
      <c r="A143" s="55">
        <v>102</v>
      </c>
      <c r="B143" s="55" t="s">
        <v>354</v>
      </c>
      <c r="C143" s="55" t="s">
        <v>19</v>
      </c>
      <c r="D143" s="22">
        <v>7</v>
      </c>
      <c r="E143" s="22">
        <v>57</v>
      </c>
      <c r="F143" s="22">
        <v>7</v>
      </c>
      <c r="G143" s="22">
        <v>57</v>
      </c>
      <c r="H143" s="55">
        <v>-87.72</v>
      </c>
      <c r="I143" s="55">
        <v>-87.72</v>
      </c>
      <c r="J143" s="55">
        <v>0.08</v>
      </c>
      <c r="K143" s="55">
        <v>0.08</v>
      </c>
      <c r="L143" s="55">
        <v>0.75</v>
      </c>
      <c r="M143" s="55">
        <v>0.75</v>
      </c>
      <c r="N143" s="55"/>
    </row>
    <row r="144" spans="1:14">
      <c r="A144" s="55">
        <v>103</v>
      </c>
      <c r="B144" s="55" t="s">
        <v>1121</v>
      </c>
      <c r="C144" s="55" t="s">
        <v>20</v>
      </c>
      <c r="D144" s="22">
        <v>7</v>
      </c>
      <c r="E144" s="22">
        <v>0</v>
      </c>
      <c r="F144" s="22">
        <v>7</v>
      </c>
      <c r="G144" s="22">
        <v>0</v>
      </c>
      <c r="H144" s="55">
        <v>0</v>
      </c>
      <c r="I144" s="55">
        <v>0</v>
      </c>
      <c r="J144" s="55">
        <v>0.08</v>
      </c>
      <c r="K144" s="55">
        <v>0.08</v>
      </c>
      <c r="L144" s="55">
        <v>0</v>
      </c>
      <c r="M144" s="55">
        <v>0</v>
      </c>
      <c r="N144" s="55"/>
    </row>
    <row r="145" spans="1:14">
      <c r="A145" s="55">
        <v>104</v>
      </c>
      <c r="B145" s="55" t="s">
        <v>995</v>
      </c>
      <c r="C145" s="55" t="s">
        <v>20</v>
      </c>
      <c r="D145" s="22">
        <v>7</v>
      </c>
      <c r="E145" s="22">
        <v>0</v>
      </c>
      <c r="F145" s="22">
        <v>7</v>
      </c>
      <c r="G145" s="22">
        <v>0</v>
      </c>
      <c r="H145" s="55">
        <v>0</v>
      </c>
      <c r="I145" s="55">
        <v>0</v>
      </c>
      <c r="J145" s="55">
        <v>0.08</v>
      </c>
      <c r="K145" s="55">
        <v>0.08</v>
      </c>
      <c r="L145" s="55">
        <v>0</v>
      </c>
      <c r="M145" s="55">
        <v>0</v>
      </c>
      <c r="N145" s="55"/>
    </row>
    <row r="146" spans="1:14">
      <c r="A146" s="55">
        <v>105</v>
      </c>
      <c r="B146" s="55" t="s">
        <v>1117</v>
      </c>
      <c r="C146" s="55" t="s">
        <v>19</v>
      </c>
      <c r="D146" s="22">
        <v>7</v>
      </c>
      <c r="E146" s="22">
        <v>0</v>
      </c>
      <c r="F146" s="22">
        <v>7</v>
      </c>
      <c r="G146" s="22">
        <v>0</v>
      </c>
      <c r="H146" s="55">
        <v>0</v>
      </c>
      <c r="I146" s="55">
        <v>0</v>
      </c>
      <c r="J146" s="55">
        <v>0.08</v>
      </c>
      <c r="K146" s="55">
        <v>0.08</v>
      </c>
      <c r="L146" s="55">
        <v>0</v>
      </c>
      <c r="M146" s="55">
        <v>0</v>
      </c>
      <c r="N146" s="55"/>
    </row>
    <row r="147" spans="1:14">
      <c r="A147" s="55">
        <v>106</v>
      </c>
      <c r="B147" s="55" t="s">
        <v>404</v>
      </c>
      <c r="C147" s="55" t="s">
        <v>19</v>
      </c>
      <c r="D147" s="22">
        <v>6</v>
      </c>
      <c r="E147" s="22">
        <v>84</v>
      </c>
      <c r="F147" s="22">
        <v>6</v>
      </c>
      <c r="G147" s="22">
        <v>84</v>
      </c>
      <c r="H147" s="55">
        <v>-92.86</v>
      </c>
      <c r="I147" s="55">
        <v>-92.86</v>
      </c>
      <c r="J147" s="55">
        <v>7.0000000000000007E-2</v>
      </c>
      <c r="K147" s="55">
        <v>7.0000000000000007E-2</v>
      </c>
      <c r="L147" s="55">
        <v>1.1000000000000001</v>
      </c>
      <c r="M147" s="55">
        <v>1.1000000000000001</v>
      </c>
      <c r="N147" s="55"/>
    </row>
    <row r="148" spans="1:14">
      <c r="A148" s="55">
        <v>107</v>
      </c>
      <c r="B148" s="55" t="s">
        <v>541</v>
      </c>
      <c r="C148" s="55" t="s">
        <v>20</v>
      </c>
      <c r="D148" s="22">
        <v>6</v>
      </c>
      <c r="E148" s="22">
        <v>49</v>
      </c>
      <c r="F148" s="22">
        <v>6</v>
      </c>
      <c r="G148" s="22">
        <v>49</v>
      </c>
      <c r="H148" s="55">
        <v>-87.76</v>
      </c>
      <c r="I148" s="55">
        <v>-87.76</v>
      </c>
      <c r="J148" s="55">
        <v>7.0000000000000007E-2</v>
      </c>
      <c r="K148" s="55">
        <v>7.0000000000000007E-2</v>
      </c>
      <c r="L148" s="55">
        <v>0.64</v>
      </c>
      <c r="M148" s="55">
        <v>0.64</v>
      </c>
      <c r="N148" s="55"/>
    </row>
    <row r="149" spans="1:14">
      <c r="A149" s="55">
        <v>108</v>
      </c>
      <c r="B149" s="55" t="s">
        <v>132</v>
      </c>
      <c r="C149" s="55" t="s">
        <v>20</v>
      </c>
      <c r="D149" s="22">
        <v>6</v>
      </c>
      <c r="E149" s="22">
        <v>20</v>
      </c>
      <c r="F149" s="22">
        <v>6</v>
      </c>
      <c r="G149" s="22">
        <v>20</v>
      </c>
      <c r="H149" s="55">
        <v>-70</v>
      </c>
      <c r="I149" s="55">
        <v>-70</v>
      </c>
      <c r="J149" s="55">
        <v>7.0000000000000007E-2</v>
      </c>
      <c r="K149" s="55">
        <v>7.0000000000000007E-2</v>
      </c>
      <c r="L149" s="55">
        <v>0.26</v>
      </c>
      <c r="M149" s="55">
        <v>0.26</v>
      </c>
      <c r="N149" s="55"/>
    </row>
    <row r="150" spans="1:14">
      <c r="A150" s="55">
        <v>109</v>
      </c>
      <c r="B150" s="55" t="s">
        <v>385</v>
      </c>
      <c r="C150" s="55" t="s">
        <v>19</v>
      </c>
      <c r="D150" s="22">
        <v>6</v>
      </c>
      <c r="E150" s="22">
        <v>7</v>
      </c>
      <c r="F150" s="22">
        <v>6</v>
      </c>
      <c r="G150" s="22">
        <v>7</v>
      </c>
      <c r="H150" s="55">
        <v>-14.29</v>
      </c>
      <c r="I150" s="55">
        <v>-14.29</v>
      </c>
      <c r="J150" s="55">
        <v>7.0000000000000007E-2</v>
      </c>
      <c r="K150" s="55">
        <v>7.0000000000000007E-2</v>
      </c>
      <c r="L150" s="55">
        <v>0.09</v>
      </c>
      <c r="M150" s="55">
        <v>0.09</v>
      </c>
      <c r="N150" s="55"/>
    </row>
    <row r="151" spans="1:14">
      <c r="A151" s="55">
        <v>110</v>
      </c>
      <c r="B151" s="55" t="s">
        <v>560</v>
      </c>
      <c r="C151" s="55" t="s">
        <v>19</v>
      </c>
      <c r="D151" s="22">
        <v>6</v>
      </c>
      <c r="E151" s="22">
        <v>5</v>
      </c>
      <c r="F151" s="22">
        <v>6</v>
      </c>
      <c r="G151" s="22">
        <v>5</v>
      </c>
      <c r="H151" s="55">
        <v>20</v>
      </c>
      <c r="I151" s="55">
        <v>20</v>
      </c>
      <c r="J151" s="55">
        <v>7.0000000000000007E-2</v>
      </c>
      <c r="K151" s="55">
        <v>7.0000000000000007E-2</v>
      </c>
      <c r="L151" s="55">
        <v>7.0000000000000007E-2</v>
      </c>
      <c r="M151" s="55">
        <v>7.0000000000000007E-2</v>
      </c>
      <c r="N151" s="55"/>
    </row>
    <row r="152" spans="1:14">
      <c r="A152" s="55">
        <v>111</v>
      </c>
      <c r="B152" s="55" t="s">
        <v>1020</v>
      </c>
      <c r="C152" s="55" t="s">
        <v>19</v>
      </c>
      <c r="D152" s="22">
        <v>6</v>
      </c>
      <c r="E152" s="22">
        <v>0</v>
      </c>
      <c r="F152" s="22">
        <v>6</v>
      </c>
      <c r="G152" s="22">
        <v>0</v>
      </c>
      <c r="H152" s="55">
        <v>0</v>
      </c>
      <c r="I152" s="55">
        <v>0</v>
      </c>
      <c r="J152" s="55">
        <v>7.0000000000000007E-2</v>
      </c>
      <c r="K152" s="55">
        <v>7.0000000000000007E-2</v>
      </c>
      <c r="L152" s="55">
        <v>0</v>
      </c>
      <c r="M152" s="55">
        <v>0</v>
      </c>
      <c r="N152" s="55"/>
    </row>
    <row r="153" spans="1:14">
      <c r="A153" s="55">
        <v>112</v>
      </c>
      <c r="B153" s="55" t="s">
        <v>1001</v>
      </c>
      <c r="C153" s="55" t="s">
        <v>19</v>
      </c>
      <c r="D153" s="22">
        <v>6</v>
      </c>
      <c r="E153" s="22">
        <v>0</v>
      </c>
      <c r="F153" s="22">
        <v>6</v>
      </c>
      <c r="G153" s="22">
        <v>0</v>
      </c>
      <c r="H153" s="55">
        <v>0</v>
      </c>
      <c r="I153" s="55">
        <v>0</v>
      </c>
      <c r="J153" s="55">
        <v>7.0000000000000007E-2</v>
      </c>
      <c r="K153" s="55">
        <v>7.0000000000000007E-2</v>
      </c>
      <c r="L153" s="55">
        <v>0</v>
      </c>
      <c r="M153" s="55">
        <v>0</v>
      </c>
      <c r="N153" s="55"/>
    </row>
    <row r="154" spans="1:14">
      <c r="A154" s="55">
        <v>113</v>
      </c>
      <c r="B154" s="55" t="s">
        <v>549</v>
      </c>
      <c r="C154" s="55" t="s">
        <v>19</v>
      </c>
      <c r="D154" s="22">
        <v>6</v>
      </c>
      <c r="E154" s="22">
        <v>0</v>
      </c>
      <c r="F154" s="22">
        <v>6</v>
      </c>
      <c r="G154" s="22">
        <v>0</v>
      </c>
      <c r="H154" s="62">
        <v>0</v>
      </c>
      <c r="I154" s="62">
        <v>0</v>
      </c>
      <c r="J154" s="55">
        <v>7.0000000000000007E-2</v>
      </c>
      <c r="K154" s="55">
        <v>7.0000000000000007E-2</v>
      </c>
      <c r="L154" s="55">
        <v>0</v>
      </c>
      <c r="M154" s="55">
        <v>0</v>
      </c>
      <c r="N154" s="55"/>
    </row>
    <row r="155" spans="1:14">
      <c r="A155" s="55">
        <v>114</v>
      </c>
      <c r="B155" s="55" t="s">
        <v>631</v>
      </c>
      <c r="C155" s="55" t="s">
        <v>20</v>
      </c>
      <c r="D155" s="22">
        <v>5</v>
      </c>
      <c r="E155" s="22">
        <v>57</v>
      </c>
      <c r="F155" s="22">
        <v>5</v>
      </c>
      <c r="G155" s="22">
        <v>57</v>
      </c>
      <c r="H155" s="55">
        <v>-91.23</v>
      </c>
      <c r="I155" s="55">
        <v>-91.23</v>
      </c>
      <c r="J155" s="55">
        <v>0.06</v>
      </c>
      <c r="K155" s="55">
        <v>0.06</v>
      </c>
      <c r="L155" s="55">
        <v>0.75</v>
      </c>
      <c r="M155" s="55">
        <v>0.75</v>
      </c>
      <c r="N155" s="55"/>
    </row>
    <row r="156" spans="1:14">
      <c r="A156" s="55">
        <v>115</v>
      </c>
      <c r="B156" s="55" t="s">
        <v>98</v>
      </c>
      <c r="C156" s="55" t="s">
        <v>20</v>
      </c>
      <c r="D156" s="22">
        <v>5</v>
      </c>
      <c r="E156" s="22">
        <v>57</v>
      </c>
      <c r="F156" s="22">
        <v>5</v>
      </c>
      <c r="G156" s="22">
        <v>57</v>
      </c>
      <c r="H156" s="55">
        <v>-91.23</v>
      </c>
      <c r="I156" s="55">
        <v>-91.23</v>
      </c>
      <c r="J156" s="55">
        <v>0.06</v>
      </c>
      <c r="K156" s="55">
        <v>0.06</v>
      </c>
      <c r="L156" s="55">
        <v>0.75</v>
      </c>
      <c r="M156" s="55">
        <v>0.75</v>
      </c>
      <c r="N156" s="55"/>
    </row>
    <row r="157" spans="1:14">
      <c r="A157" s="55">
        <v>116</v>
      </c>
      <c r="B157" s="55" t="s">
        <v>381</v>
      </c>
      <c r="C157" s="55" t="s">
        <v>20</v>
      </c>
      <c r="D157" s="22">
        <v>5</v>
      </c>
      <c r="E157" s="22">
        <v>48</v>
      </c>
      <c r="F157" s="22">
        <v>5</v>
      </c>
      <c r="G157" s="22">
        <v>48</v>
      </c>
      <c r="H157" s="55">
        <v>-89.58</v>
      </c>
      <c r="I157" s="55">
        <v>-89.58</v>
      </c>
      <c r="J157" s="55">
        <v>0.06</v>
      </c>
      <c r="K157" s="55">
        <v>0.06</v>
      </c>
      <c r="L157" s="55">
        <v>0.63</v>
      </c>
      <c r="M157" s="55">
        <v>0.63</v>
      </c>
      <c r="N157" s="55"/>
    </row>
    <row r="158" spans="1:14">
      <c r="A158" s="55">
        <v>117</v>
      </c>
      <c r="B158" s="55" t="s">
        <v>953</v>
      </c>
      <c r="C158" s="55" t="s">
        <v>20</v>
      </c>
      <c r="D158" s="22">
        <v>5</v>
      </c>
      <c r="E158" s="22">
        <v>7</v>
      </c>
      <c r="F158" s="22">
        <v>5</v>
      </c>
      <c r="G158" s="22">
        <v>7</v>
      </c>
      <c r="H158" s="55">
        <v>-28.57</v>
      </c>
      <c r="I158" s="55">
        <v>-28.57</v>
      </c>
      <c r="J158" s="55">
        <v>0.06</v>
      </c>
      <c r="K158" s="55">
        <v>0.06</v>
      </c>
      <c r="L158" s="55">
        <v>0.09</v>
      </c>
      <c r="M158" s="55">
        <v>0.09</v>
      </c>
      <c r="N158" s="55"/>
    </row>
    <row r="159" spans="1:14">
      <c r="A159" s="55">
        <v>118</v>
      </c>
      <c r="B159" s="55" t="s">
        <v>933</v>
      </c>
      <c r="C159" s="55" t="s">
        <v>20</v>
      </c>
      <c r="D159" s="22">
        <v>5</v>
      </c>
      <c r="E159" s="22">
        <v>1</v>
      </c>
      <c r="F159" s="22">
        <v>5</v>
      </c>
      <c r="G159" s="22">
        <v>1</v>
      </c>
      <c r="H159" s="55">
        <v>400</v>
      </c>
      <c r="I159" s="55">
        <v>400</v>
      </c>
      <c r="J159" s="55">
        <v>0.06</v>
      </c>
      <c r="K159" s="55">
        <v>0.06</v>
      </c>
      <c r="L159" s="55">
        <v>0.01</v>
      </c>
      <c r="M159" s="55">
        <v>0.01</v>
      </c>
      <c r="N159" s="55"/>
    </row>
    <row r="160" spans="1:14">
      <c r="A160" s="55">
        <v>119</v>
      </c>
      <c r="B160" s="55" t="s">
        <v>1013</v>
      </c>
      <c r="C160" s="55" t="s">
        <v>19</v>
      </c>
      <c r="D160" s="22">
        <v>5</v>
      </c>
      <c r="E160" s="22">
        <v>0</v>
      </c>
      <c r="F160" s="22">
        <v>5</v>
      </c>
      <c r="G160" s="22">
        <v>0</v>
      </c>
      <c r="H160" s="55">
        <v>0</v>
      </c>
      <c r="I160" s="55">
        <v>0</v>
      </c>
      <c r="J160" s="55">
        <v>0.06</v>
      </c>
      <c r="K160" s="55">
        <v>0.06</v>
      </c>
      <c r="L160" s="55">
        <v>0</v>
      </c>
      <c r="M160" s="55">
        <v>0</v>
      </c>
      <c r="N160" s="55"/>
    </row>
    <row r="161" spans="1:14">
      <c r="A161" s="55">
        <v>120</v>
      </c>
      <c r="B161" s="55" t="s">
        <v>1022</v>
      </c>
      <c r="C161" s="55" t="s">
        <v>20</v>
      </c>
      <c r="D161" s="22">
        <v>5</v>
      </c>
      <c r="E161" s="22">
        <v>0</v>
      </c>
      <c r="F161" s="22">
        <v>5</v>
      </c>
      <c r="G161" s="22">
        <v>0</v>
      </c>
      <c r="H161" s="55">
        <v>0</v>
      </c>
      <c r="I161" s="55">
        <v>0</v>
      </c>
      <c r="J161" s="55">
        <v>0.06</v>
      </c>
      <c r="K161" s="55">
        <v>0.06</v>
      </c>
      <c r="L161" s="55">
        <v>0</v>
      </c>
      <c r="M161" s="55">
        <v>0</v>
      </c>
      <c r="N161" s="55"/>
    </row>
    <row r="162" spans="1:14">
      <c r="A162" s="55">
        <v>121</v>
      </c>
      <c r="B162" s="55" t="s">
        <v>531</v>
      </c>
      <c r="C162" s="55" t="s">
        <v>20</v>
      </c>
      <c r="D162" s="22">
        <v>5</v>
      </c>
      <c r="E162" s="22">
        <v>0</v>
      </c>
      <c r="F162" s="22">
        <v>5</v>
      </c>
      <c r="G162" s="22">
        <v>0</v>
      </c>
      <c r="H162" s="55">
        <v>0</v>
      </c>
      <c r="I162" s="55">
        <v>0</v>
      </c>
      <c r="J162" s="55">
        <v>0.06</v>
      </c>
      <c r="K162" s="55">
        <v>0.06</v>
      </c>
      <c r="L162" s="55">
        <v>0</v>
      </c>
      <c r="M162" s="55">
        <v>0</v>
      </c>
      <c r="N162" s="55"/>
    </row>
    <row r="163" spans="1:14">
      <c r="A163" s="55">
        <v>122</v>
      </c>
      <c r="B163" s="55" t="s">
        <v>584</v>
      </c>
      <c r="C163" s="55" t="s">
        <v>20</v>
      </c>
      <c r="D163" s="22">
        <v>4</v>
      </c>
      <c r="E163" s="22">
        <v>55</v>
      </c>
      <c r="F163" s="22">
        <v>4</v>
      </c>
      <c r="G163" s="22">
        <v>55</v>
      </c>
      <c r="H163" s="55">
        <v>-92.73</v>
      </c>
      <c r="I163" s="55">
        <v>-92.73</v>
      </c>
      <c r="J163" s="55">
        <v>0.04</v>
      </c>
      <c r="K163" s="55">
        <v>0.04</v>
      </c>
      <c r="L163" s="55">
        <v>0.72</v>
      </c>
      <c r="M163" s="55">
        <v>0.72</v>
      </c>
      <c r="N163" s="55"/>
    </row>
    <row r="164" spans="1:14">
      <c r="A164" s="55">
        <v>123</v>
      </c>
      <c r="B164" s="55" t="s">
        <v>406</v>
      </c>
      <c r="C164" s="55" t="s">
        <v>20</v>
      </c>
      <c r="D164" s="22">
        <v>4</v>
      </c>
      <c r="E164" s="22">
        <v>4</v>
      </c>
      <c r="F164" s="22">
        <v>4</v>
      </c>
      <c r="G164" s="22">
        <v>4</v>
      </c>
      <c r="H164" s="55">
        <v>0</v>
      </c>
      <c r="I164" s="55">
        <v>0</v>
      </c>
      <c r="J164" s="55">
        <v>0.04</v>
      </c>
      <c r="K164" s="55">
        <v>0.04</v>
      </c>
      <c r="L164" s="55">
        <v>0.05</v>
      </c>
      <c r="M164" s="55">
        <v>0.05</v>
      </c>
      <c r="N164" s="55"/>
    </row>
    <row r="165" spans="1:14">
      <c r="A165" s="55">
        <v>124</v>
      </c>
      <c r="B165" s="55" t="s">
        <v>632</v>
      </c>
      <c r="C165" s="55" t="s">
        <v>19</v>
      </c>
      <c r="D165" s="22">
        <v>4</v>
      </c>
      <c r="E165" s="22">
        <v>1</v>
      </c>
      <c r="F165" s="22">
        <v>4</v>
      </c>
      <c r="G165" s="22">
        <v>1</v>
      </c>
      <c r="H165" s="55">
        <v>300</v>
      </c>
      <c r="I165" s="55">
        <v>300</v>
      </c>
      <c r="J165" s="55">
        <v>0.04</v>
      </c>
      <c r="K165" s="55">
        <v>0.04</v>
      </c>
      <c r="L165" s="55">
        <v>0.01</v>
      </c>
      <c r="M165" s="55">
        <v>0.01</v>
      </c>
      <c r="N165" s="55"/>
    </row>
    <row r="166" spans="1:14">
      <c r="A166" s="55">
        <v>125</v>
      </c>
      <c r="B166" s="55" t="s">
        <v>460</v>
      </c>
      <c r="C166" s="55" t="s">
        <v>19</v>
      </c>
      <c r="D166" s="22">
        <v>4</v>
      </c>
      <c r="E166" s="22">
        <v>1</v>
      </c>
      <c r="F166" s="22">
        <v>4</v>
      </c>
      <c r="G166" s="22">
        <v>1</v>
      </c>
      <c r="H166" s="55">
        <v>300</v>
      </c>
      <c r="I166" s="55">
        <v>300</v>
      </c>
      <c r="J166" s="55">
        <v>0.04</v>
      </c>
      <c r="K166" s="55">
        <v>0.04</v>
      </c>
      <c r="L166" s="55">
        <v>0.01</v>
      </c>
      <c r="M166" s="55">
        <v>0.01</v>
      </c>
      <c r="N166" s="55"/>
    </row>
    <row r="167" spans="1:14">
      <c r="A167" s="55">
        <v>126</v>
      </c>
      <c r="B167" s="55" t="s">
        <v>1014</v>
      </c>
      <c r="C167" s="55" t="s">
        <v>20</v>
      </c>
      <c r="D167" s="22">
        <v>4</v>
      </c>
      <c r="E167" s="22">
        <v>0</v>
      </c>
      <c r="F167" s="22">
        <v>4</v>
      </c>
      <c r="G167" s="22">
        <v>0</v>
      </c>
      <c r="H167" s="55">
        <v>0</v>
      </c>
      <c r="I167" s="55">
        <v>0</v>
      </c>
      <c r="J167" s="55">
        <v>0.04</v>
      </c>
      <c r="K167" s="55">
        <v>0.04</v>
      </c>
      <c r="L167" s="55">
        <v>0</v>
      </c>
      <c r="M167" s="55">
        <v>0</v>
      </c>
      <c r="N167" s="55"/>
    </row>
    <row r="168" spans="1:14">
      <c r="A168" s="55">
        <v>127</v>
      </c>
      <c r="B168" s="55" t="s">
        <v>956</v>
      </c>
      <c r="C168" s="55" t="s">
        <v>19</v>
      </c>
      <c r="D168" s="22">
        <v>4</v>
      </c>
      <c r="E168" s="22">
        <v>0</v>
      </c>
      <c r="F168" s="22">
        <v>4</v>
      </c>
      <c r="G168" s="22">
        <v>0</v>
      </c>
      <c r="H168" s="55">
        <v>0</v>
      </c>
      <c r="I168" s="55">
        <v>0</v>
      </c>
      <c r="J168" s="55">
        <v>0.04</v>
      </c>
      <c r="K168" s="55">
        <v>0.04</v>
      </c>
      <c r="L168" s="55">
        <v>0</v>
      </c>
      <c r="M168" s="55">
        <v>0</v>
      </c>
      <c r="N168" s="55"/>
    </row>
    <row r="169" spans="1:14">
      <c r="A169" s="55">
        <v>128</v>
      </c>
      <c r="B169" s="55" t="s">
        <v>393</v>
      </c>
      <c r="C169" s="55" t="s">
        <v>19</v>
      </c>
      <c r="D169" s="22">
        <v>4</v>
      </c>
      <c r="E169" s="22">
        <v>0</v>
      </c>
      <c r="F169" s="22">
        <v>4</v>
      </c>
      <c r="G169" s="22">
        <v>0</v>
      </c>
      <c r="H169" s="55">
        <v>0</v>
      </c>
      <c r="I169" s="55">
        <v>0</v>
      </c>
      <c r="J169" s="55">
        <v>0.04</v>
      </c>
      <c r="K169" s="55">
        <v>0.04</v>
      </c>
      <c r="L169" s="55">
        <v>0</v>
      </c>
      <c r="M169" s="55">
        <v>0</v>
      </c>
      <c r="N169" s="55"/>
    </row>
    <row r="170" spans="1:14">
      <c r="A170" s="55">
        <v>129</v>
      </c>
      <c r="B170" s="55" t="s">
        <v>1061</v>
      </c>
      <c r="C170" s="55" t="s">
        <v>19</v>
      </c>
      <c r="D170" s="22">
        <v>4</v>
      </c>
      <c r="E170" s="22">
        <v>0</v>
      </c>
      <c r="F170" s="22">
        <v>4</v>
      </c>
      <c r="G170" s="22">
        <v>0</v>
      </c>
      <c r="H170" s="55">
        <v>0</v>
      </c>
      <c r="I170" s="55">
        <v>0</v>
      </c>
      <c r="J170" s="55">
        <v>0.04</v>
      </c>
      <c r="K170" s="55">
        <v>0.04</v>
      </c>
      <c r="L170" s="55">
        <v>0</v>
      </c>
      <c r="M170" s="55">
        <v>0</v>
      </c>
      <c r="N170" s="55"/>
    </row>
    <row r="171" spans="1:14">
      <c r="A171" s="55">
        <v>130</v>
      </c>
      <c r="B171" s="55" t="s">
        <v>905</v>
      </c>
      <c r="C171" s="55" t="s">
        <v>20</v>
      </c>
      <c r="D171" s="22">
        <v>3</v>
      </c>
      <c r="E171" s="22">
        <v>13</v>
      </c>
      <c r="F171" s="22">
        <v>3</v>
      </c>
      <c r="G171" s="22">
        <v>13</v>
      </c>
      <c r="H171" s="55">
        <v>-76.92</v>
      </c>
      <c r="I171" s="55">
        <v>-76.92</v>
      </c>
      <c r="J171" s="55">
        <v>0.03</v>
      </c>
      <c r="K171" s="55">
        <v>0.03</v>
      </c>
      <c r="L171" s="55">
        <v>0.17</v>
      </c>
      <c r="M171" s="55">
        <v>0.17</v>
      </c>
      <c r="N171" s="55"/>
    </row>
    <row r="172" spans="1:14">
      <c r="A172" s="55">
        <v>131</v>
      </c>
      <c r="B172" s="55" t="s">
        <v>602</v>
      </c>
      <c r="C172" s="55" t="s">
        <v>20</v>
      </c>
      <c r="D172" s="22">
        <v>3</v>
      </c>
      <c r="E172" s="22">
        <v>11</v>
      </c>
      <c r="F172" s="22">
        <v>3</v>
      </c>
      <c r="G172" s="22">
        <v>11</v>
      </c>
      <c r="H172" s="55">
        <v>-72.73</v>
      </c>
      <c r="I172" s="55">
        <v>-72.73</v>
      </c>
      <c r="J172" s="55">
        <v>0.03</v>
      </c>
      <c r="K172" s="55">
        <v>0.03</v>
      </c>
      <c r="L172" s="55">
        <v>0.14000000000000001</v>
      </c>
      <c r="M172" s="55">
        <v>0.14000000000000001</v>
      </c>
      <c r="N172" s="55"/>
    </row>
    <row r="173" spans="1:14">
      <c r="A173" s="55">
        <v>132</v>
      </c>
      <c r="B173" s="55" t="s">
        <v>946</v>
      </c>
      <c r="C173" s="55" t="s">
        <v>20</v>
      </c>
      <c r="D173" s="22">
        <v>3</v>
      </c>
      <c r="E173" s="22">
        <v>10</v>
      </c>
      <c r="F173" s="22">
        <v>3</v>
      </c>
      <c r="G173" s="22">
        <v>10</v>
      </c>
      <c r="H173" s="55">
        <v>-70</v>
      </c>
      <c r="I173" s="55">
        <v>-70</v>
      </c>
      <c r="J173" s="55">
        <v>0.03</v>
      </c>
      <c r="K173" s="55">
        <v>0.03</v>
      </c>
      <c r="L173" s="55">
        <v>0.13</v>
      </c>
      <c r="M173" s="55">
        <v>0.13</v>
      </c>
      <c r="N173" s="55"/>
    </row>
    <row r="174" spans="1:14">
      <c r="A174" s="55">
        <v>133</v>
      </c>
      <c r="B174" s="55" t="s">
        <v>648</v>
      </c>
      <c r="C174" s="55" t="s">
        <v>20</v>
      </c>
      <c r="D174" s="22">
        <v>3</v>
      </c>
      <c r="E174" s="22">
        <v>2</v>
      </c>
      <c r="F174" s="22">
        <v>3</v>
      </c>
      <c r="G174" s="22">
        <v>2</v>
      </c>
      <c r="H174" s="55">
        <v>50</v>
      </c>
      <c r="I174" s="55">
        <v>50</v>
      </c>
      <c r="J174" s="55">
        <v>0.03</v>
      </c>
      <c r="K174" s="55">
        <v>0.03</v>
      </c>
      <c r="L174" s="55">
        <v>0.03</v>
      </c>
      <c r="M174" s="55">
        <v>0.03</v>
      </c>
      <c r="N174" s="55"/>
    </row>
    <row r="175" spans="1:14">
      <c r="A175" s="55">
        <v>134</v>
      </c>
      <c r="B175" s="55" t="s">
        <v>1066</v>
      </c>
      <c r="C175" s="55" t="s">
        <v>20</v>
      </c>
      <c r="D175" s="22">
        <v>3</v>
      </c>
      <c r="E175" s="22">
        <v>0</v>
      </c>
      <c r="F175" s="22">
        <v>3</v>
      </c>
      <c r="G175" s="22">
        <v>0</v>
      </c>
      <c r="H175" s="55">
        <v>0</v>
      </c>
      <c r="I175" s="55">
        <v>0</v>
      </c>
      <c r="J175" s="55">
        <v>0.03</v>
      </c>
      <c r="K175" s="55">
        <v>0.03</v>
      </c>
      <c r="L175" s="55">
        <v>0</v>
      </c>
      <c r="M175" s="55">
        <v>0</v>
      </c>
      <c r="N175" s="55"/>
    </row>
    <row r="176" spans="1:14">
      <c r="A176" s="55">
        <v>135</v>
      </c>
      <c r="B176" s="55" t="s">
        <v>976</v>
      </c>
      <c r="C176" s="55" t="s">
        <v>20</v>
      </c>
      <c r="D176" s="22">
        <v>2</v>
      </c>
      <c r="E176" s="22">
        <v>8</v>
      </c>
      <c r="F176" s="22">
        <v>2</v>
      </c>
      <c r="G176" s="22">
        <v>8</v>
      </c>
      <c r="H176" s="55">
        <v>-75</v>
      </c>
      <c r="I176" s="55">
        <v>-75</v>
      </c>
      <c r="J176" s="55">
        <v>0.02</v>
      </c>
      <c r="K176" s="55">
        <v>0.02</v>
      </c>
      <c r="L176" s="55">
        <v>0.1</v>
      </c>
      <c r="M176" s="55">
        <v>0.1</v>
      </c>
      <c r="N176" s="55"/>
    </row>
    <row r="177" spans="1:14">
      <c r="A177" s="55">
        <v>136</v>
      </c>
      <c r="B177" s="55" t="s">
        <v>542</v>
      </c>
      <c r="C177" s="55" t="s">
        <v>19</v>
      </c>
      <c r="D177" s="22">
        <v>2</v>
      </c>
      <c r="E177" s="22">
        <v>7</v>
      </c>
      <c r="F177" s="22">
        <v>2</v>
      </c>
      <c r="G177" s="22">
        <v>7</v>
      </c>
      <c r="H177" s="62">
        <v>-71.430000000000007</v>
      </c>
      <c r="I177" s="62">
        <v>-71.430000000000007</v>
      </c>
      <c r="J177" s="55">
        <v>0.02</v>
      </c>
      <c r="K177" s="55">
        <v>0.02</v>
      </c>
      <c r="L177" s="55">
        <v>0.09</v>
      </c>
      <c r="M177" s="55">
        <v>0.09</v>
      </c>
      <c r="N177" s="55"/>
    </row>
    <row r="178" spans="1:14">
      <c r="A178" s="55">
        <v>137</v>
      </c>
      <c r="B178" s="55" t="s">
        <v>597</v>
      </c>
      <c r="C178" s="55" t="s">
        <v>20</v>
      </c>
      <c r="D178" s="22">
        <v>2</v>
      </c>
      <c r="E178" s="22">
        <v>6</v>
      </c>
      <c r="F178" s="22">
        <v>2</v>
      </c>
      <c r="G178" s="22">
        <v>6</v>
      </c>
      <c r="H178" s="55">
        <v>-66.67</v>
      </c>
      <c r="I178" s="55">
        <v>-66.67</v>
      </c>
      <c r="J178" s="55">
        <v>0.02</v>
      </c>
      <c r="K178" s="55">
        <v>0.02</v>
      </c>
      <c r="L178" s="55">
        <v>0.08</v>
      </c>
      <c r="M178" s="55">
        <v>0.08</v>
      </c>
      <c r="N178" s="55"/>
    </row>
    <row r="179" spans="1:14">
      <c r="A179" s="55">
        <v>138</v>
      </c>
      <c r="B179" s="55" t="s">
        <v>517</v>
      </c>
      <c r="C179" s="55" t="s">
        <v>20</v>
      </c>
      <c r="D179" s="22">
        <v>2</v>
      </c>
      <c r="E179" s="22">
        <v>6</v>
      </c>
      <c r="F179" s="22">
        <v>2</v>
      </c>
      <c r="G179" s="22">
        <v>6</v>
      </c>
      <c r="H179" s="55">
        <v>-66.67</v>
      </c>
      <c r="I179" s="55">
        <v>-66.67</v>
      </c>
      <c r="J179" s="55">
        <v>0.02</v>
      </c>
      <c r="K179" s="55">
        <v>0.02</v>
      </c>
      <c r="L179" s="55">
        <v>0.08</v>
      </c>
      <c r="M179" s="55">
        <v>0.08</v>
      </c>
      <c r="N179" s="55"/>
    </row>
    <row r="180" spans="1:14">
      <c r="A180" s="55">
        <v>139</v>
      </c>
      <c r="B180" s="55" t="s">
        <v>464</v>
      </c>
      <c r="C180" s="55" t="s">
        <v>19</v>
      </c>
      <c r="D180" s="22">
        <v>2</v>
      </c>
      <c r="E180" s="22">
        <v>3</v>
      </c>
      <c r="F180" s="22">
        <v>2</v>
      </c>
      <c r="G180" s="22">
        <v>3</v>
      </c>
      <c r="H180" s="62">
        <v>-33.33</v>
      </c>
      <c r="I180" s="62">
        <v>-33.33</v>
      </c>
      <c r="J180" s="55">
        <v>0.02</v>
      </c>
      <c r="K180" s="55">
        <v>0.02</v>
      </c>
      <c r="L180" s="55">
        <v>0.04</v>
      </c>
      <c r="M180" s="55">
        <v>0.04</v>
      </c>
      <c r="N180" s="55"/>
    </row>
    <row r="181" spans="1:14">
      <c r="A181" s="55">
        <v>140</v>
      </c>
      <c r="B181" s="55" t="s">
        <v>163</v>
      </c>
      <c r="C181" s="55" t="s">
        <v>19</v>
      </c>
      <c r="D181" s="22">
        <v>2</v>
      </c>
      <c r="E181" s="22">
        <v>3</v>
      </c>
      <c r="F181" s="22">
        <v>2</v>
      </c>
      <c r="G181" s="22">
        <v>3</v>
      </c>
      <c r="H181" s="55">
        <v>-33.33</v>
      </c>
      <c r="I181" s="55">
        <v>-33.33</v>
      </c>
      <c r="J181" s="55">
        <v>0.02</v>
      </c>
      <c r="K181" s="55">
        <v>0.02</v>
      </c>
      <c r="L181" s="55">
        <v>0.04</v>
      </c>
      <c r="M181" s="55">
        <v>0.04</v>
      </c>
      <c r="N181" s="55"/>
    </row>
    <row r="182" spans="1:14">
      <c r="A182" s="55">
        <v>141</v>
      </c>
      <c r="B182" s="55" t="s">
        <v>454</v>
      </c>
      <c r="C182" s="55" t="s">
        <v>222</v>
      </c>
      <c r="D182" s="22">
        <v>2</v>
      </c>
      <c r="E182" s="22">
        <v>1</v>
      </c>
      <c r="F182" s="22">
        <v>2</v>
      </c>
      <c r="G182" s="22">
        <v>1</v>
      </c>
      <c r="H182" s="55">
        <v>100</v>
      </c>
      <c r="I182" s="55">
        <v>100</v>
      </c>
      <c r="J182" s="55">
        <v>0.02</v>
      </c>
      <c r="K182" s="55">
        <v>0.02</v>
      </c>
      <c r="L182" s="55">
        <v>0.01</v>
      </c>
      <c r="M182" s="55">
        <v>0.01</v>
      </c>
      <c r="N182" s="55"/>
    </row>
    <row r="183" spans="1:14">
      <c r="A183" s="55">
        <v>142</v>
      </c>
      <c r="B183" s="55" t="s">
        <v>162</v>
      </c>
      <c r="C183" s="55" t="s">
        <v>19</v>
      </c>
      <c r="D183" s="22">
        <v>2</v>
      </c>
      <c r="E183" s="22">
        <v>0</v>
      </c>
      <c r="F183" s="22">
        <v>2</v>
      </c>
      <c r="G183" s="22">
        <v>0</v>
      </c>
      <c r="H183" s="55">
        <v>0</v>
      </c>
      <c r="I183" s="55">
        <v>0</v>
      </c>
      <c r="J183" s="55">
        <v>0.02</v>
      </c>
      <c r="K183" s="55">
        <v>0.02</v>
      </c>
      <c r="L183" s="55">
        <v>0</v>
      </c>
      <c r="M183" s="55">
        <v>0</v>
      </c>
      <c r="N183" s="55"/>
    </row>
    <row r="184" spans="1:14">
      <c r="A184" s="55">
        <v>143</v>
      </c>
      <c r="B184" s="55" t="s">
        <v>1088</v>
      </c>
      <c r="C184" s="55" t="s">
        <v>20</v>
      </c>
      <c r="D184" s="22">
        <v>2</v>
      </c>
      <c r="E184" s="22">
        <v>0</v>
      </c>
      <c r="F184" s="22">
        <v>2</v>
      </c>
      <c r="G184" s="22">
        <v>0</v>
      </c>
      <c r="H184" s="55">
        <v>0</v>
      </c>
      <c r="I184" s="55">
        <v>0</v>
      </c>
      <c r="J184" s="55">
        <v>0.02</v>
      </c>
      <c r="K184" s="55">
        <v>0.02</v>
      </c>
      <c r="L184" s="55">
        <v>0</v>
      </c>
      <c r="M184" s="55">
        <v>0</v>
      </c>
      <c r="N184" s="55"/>
    </row>
    <row r="185" spans="1:14">
      <c r="A185" s="55">
        <v>144</v>
      </c>
      <c r="B185" s="55" t="s">
        <v>994</v>
      </c>
      <c r="C185" s="55" t="s">
        <v>19</v>
      </c>
      <c r="D185" s="22">
        <v>2</v>
      </c>
      <c r="E185" s="22">
        <v>0</v>
      </c>
      <c r="F185" s="22">
        <v>2</v>
      </c>
      <c r="G185" s="22">
        <v>0</v>
      </c>
      <c r="H185" s="55">
        <v>0</v>
      </c>
      <c r="I185" s="55">
        <v>0</v>
      </c>
      <c r="J185" s="55">
        <v>0.02</v>
      </c>
      <c r="K185" s="55">
        <v>0.02</v>
      </c>
      <c r="L185" s="55">
        <v>0</v>
      </c>
      <c r="M185" s="55">
        <v>0</v>
      </c>
      <c r="N185" s="55"/>
    </row>
    <row r="186" spans="1:14">
      <c r="A186" s="55">
        <v>145</v>
      </c>
      <c r="B186" s="55" t="s">
        <v>178</v>
      </c>
      <c r="C186" s="55" t="s">
        <v>19</v>
      </c>
      <c r="D186" s="22">
        <v>2</v>
      </c>
      <c r="E186" s="22">
        <v>0</v>
      </c>
      <c r="F186" s="22">
        <v>2</v>
      </c>
      <c r="G186" s="22">
        <v>0</v>
      </c>
      <c r="H186" s="55">
        <v>0</v>
      </c>
      <c r="I186" s="55">
        <v>0</v>
      </c>
      <c r="J186" s="55">
        <v>0.02</v>
      </c>
      <c r="K186" s="55">
        <v>0.02</v>
      </c>
      <c r="L186" s="55">
        <v>0</v>
      </c>
      <c r="M186" s="55">
        <v>0</v>
      </c>
      <c r="N186" s="55"/>
    </row>
    <row r="187" spans="1:14">
      <c r="A187" s="55">
        <v>146</v>
      </c>
      <c r="B187" s="55" t="s">
        <v>386</v>
      </c>
      <c r="C187" s="55" t="s">
        <v>20</v>
      </c>
      <c r="D187" s="22">
        <v>1</v>
      </c>
      <c r="E187" s="22">
        <v>79</v>
      </c>
      <c r="F187" s="22">
        <v>1</v>
      </c>
      <c r="G187" s="22">
        <v>79</v>
      </c>
      <c r="H187" s="55">
        <v>-98.73</v>
      </c>
      <c r="I187" s="55">
        <v>-98.73</v>
      </c>
      <c r="J187" s="55">
        <v>0.01</v>
      </c>
      <c r="K187" s="55">
        <v>0.01</v>
      </c>
      <c r="L187" s="55">
        <v>1.04</v>
      </c>
      <c r="M187" s="55">
        <v>1.04</v>
      </c>
      <c r="N187" s="55"/>
    </row>
    <row r="188" spans="1:14">
      <c r="A188" s="55">
        <v>147</v>
      </c>
      <c r="B188" s="55" t="s">
        <v>911</v>
      </c>
      <c r="C188" s="55" t="s">
        <v>19</v>
      </c>
      <c r="D188" s="22">
        <v>1</v>
      </c>
      <c r="E188" s="22">
        <v>20</v>
      </c>
      <c r="F188" s="22">
        <v>1</v>
      </c>
      <c r="G188" s="22">
        <v>20</v>
      </c>
      <c r="H188" s="55">
        <v>-95</v>
      </c>
      <c r="I188" s="55">
        <v>-95</v>
      </c>
      <c r="J188" s="55">
        <v>0.01</v>
      </c>
      <c r="K188" s="55">
        <v>0.01</v>
      </c>
      <c r="L188" s="55">
        <v>0.26</v>
      </c>
      <c r="M188" s="55">
        <v>0.26</v>
      </c>
      <c r="N188" s="55"/>
    </row>
    <row r="189" spans="1:14">
      <c r="A189" s="55">
        <v>148</v>
      </c>
      <c r="B189" s="55" t="s">
        <v>332</v>
      </c>
      <c r="C189" s="55" t="s">
        <v>19</v>
      </c>
      <c r="D189" s="22">
        <v>1</v>
      </c>
      <c r="E189" s="22">
        <v>20</v>
      </c>
      <c r="F189" s="22">
        <v>1</v>
      </c>
      <c r="G189" s="22">
        <v>20</v>
      </c>
      <c r="H189" s="55">
        <v>-95</v>
      </c>
      <c r="I189" s="55">
        <v>-95</v>
      </c>
      <c r="J189" s="55">
        <v>0.01</v>
      </c>
      <c r="K189" s="55">
        <v>0.01</v>
      </c>
      <c r="L189" s="55">
        <v>0.26</v>
      </c>
      <c r="M189" s="55">
        <v>0.26</v>
      </c>
      <c r="N189" s="55"/>
    </row>
    <row r="190" spans="1:14">
      <c r="A190" s="55">
        <v>149</v>
      </c>
      <c r="B190" s="55" t="s">
        <v>374</v>
      </c>
      <c r="C190" s="55" t="s">
        <v>20</v>
      </c>
      <c r="D190" s="22">
        <v>1</v>
      </c>
      <c r="E190" s="22">
        <v>12</v>
      </c>
      <c r="F190" s="22">
        <v>1</v>
      </c>
      <c r="G190" s="22">
        <v>12</v>
      </c>
      <c r="H190" s="55">
        <v>-91.67</v>
      </c>
      <c r="I190" s="55">
        <v>-91.67</v>
      </c>
      <c r="J190" s="55">
        <v>0.01</v>
      </c>
      <c r="K190" s="55">
        <v>0.01</v>
      </c>
      <c r="L190" s="55">
        <v>0.16</v>
      </c>
      <c r="M190" s="55">
        <v>0.16</v>
      </c>
      <c r="N190" s="55"/>
    </row>
    <row r="191" spans="1:14">
      <c r="A191" s="55">
        <v>150</v>
      </c>
      <c r="B191" s="55" t="s">
        <v>388</v>
      </c>
      <c r="C191" s="55" t="s">
        <v>19</v>
      </c>
      <c r="D191" s="22">
        <v>1</v>
      </c>
      <c r="E191" s="22">
        <v>8</v>
      </c>
      <c r="F191" s="22">
        <v>1</v>
      </c>
      <c r="G191" s="22">
        <v>8</v>
      </c>
      <c r="H191" s="55">
        <v>-87.5</v>
      </c>
      <c r="I191" s="55">
        <v>-87.5</v>
      </c>
      <c r="J191" s="55">
        <v>0.01</v>
      </c>
      <c r="K191" s="55">
        <v>0.01</v>
      </c>
      <c r="L191" s="55">
        <v>0.1</v>
      </c>
      <c r="M191" s="55">
        <v>0.1</v>
      </c>
      <c r="N191" s="55"/>
    </row>
    <row r="192" spans="1:14">
      <c r="A192" s="55">
        <v>151</v>
      </c>
      <c r="B192" s="55" t="s">
        <v>364</v>
      </c>
      <c r="C192" s="55" t="s">
        <v>20</v>
      </c>
      <c r="D192" s="22">
        <v>1</v>
      </c>
      <c r="E192" s="22">
        <v>2</v>
      </c>
      <c r="F192" s="22">
        <v>1</v>
      </c>
      <c r="G192" s="22">
        <v>2</v>
      </c>
      <c r="H192" s="55">
        <v>-50</v>
      </c>
      <c r="I192" s="55">
        <v>-50</v>
      </c>
      <c r="J192" s="55">
        <v>0.01</v>
      </c>
      <c r="K192" s="55">
        <v>0.01</v>
      </c>
      <c r="L192" s="55">
        <v>0.03</v>
      </c>
      <c r="M192" s="55">
        <v>0.03</v>
      </c>
      <c r="N192" s="55"/>
    </row>
    <row r="193" spans="1:14">
      <c r="A193" s="55">
        <v>152</v>
      </c>
      <c r="B193" s="55" t="s">
        <v>134</v>
      </c>
      <c r="C193" s="55" t="s">
        <v>19</v>
      </c>
      <c r="D193" s="22">
        <v>1</v>
      </c>
      <c r="E193" s="22">
        <v>2</v>
      </c>
      <c r="F193" s="22">
        <v>1</v>
      </c>
      <c r="G193" s="22">
        <v>2</v>
      </c>
      <c r="H193" s="55">
        <v>-50</v>
      </c>
      <c r="I193" s="55">
        <v>-50</v>
      </c>
      <c r="J193" s="55">
        <v>0.01</v>
      </c>
      <c r="K193" s="55">
        <v>0.01</v>
      </c>
      <c r="L193" s="55">
        <v>0.03</v>
      </c>
      <c r="M193" s="55">
        <v>0.03</v>
      </c>
      <c r="N193" s="55"/>
    </row>
    <row r="194" spans="1:14">
      <c r="A194" s="55">
        <v>153</v>
      </c>
      <c r="B194" s="55" t="s">
        <v>561</v>
      </c>
      <c r="C194" s="55" t="s">
        <v>20</v>
      </c>
      <c r="D194" s="22">
        <v>1</v>
      </c>
      <c r="E194" s="22">
        <v>0</v>
      </c>
      <c r="F194" s="22">
        <v>1</v>
      </c>
      <c r="G194" s="22">
        <v>0</v>
      </c>
      <c r="H194" s="55">
        <v>0</v>
      </c>
      <c r="I194" s="55">
        <v>0</v>
      </c>
      <c r="J194" s="55">
        <v>0.01</v>
      </c>
      <c r="K194" s="55">
        <v>0.01</v>
      </c>
      <c r="L194" s="55">
        <v>0</v>
      </c>
      <c r="M194" s="55">
        <v>0</v>
      </c>
      <c r="N194" s="55"/>
    </row>
    <row r="195" spans="1:14">
      <c r="A195" s="55">
        <v>154</v>
      </c>
      <c r="B195" s="55" t="s">
        <v>993</v>
      </c>
      <c r="C195" s="55" t="s">
        <v>20</v>
      </c>
      <c r="D195" s="22">
        <v>1</v>
      </c>
      <c r="E195" s="22">
        <v>0</v>
      </c>
      <c r="F195" s="22">
        <v>1</v>
      </c>
      <c r="G195" s="22">
        <v>0</v>
      </c>
      <c r="H195" s="55">
        <v>0</v>
      </c>
      <c r="I195" s="55">
        <v>0</v>
      </c>
      <c r="J195" s="55">
        <v>0.01</v>
      </c>
      <c r="K195" s="55">
        <v>0.01</v>
      </c>
      <c r="L195" s="55">
        <v>0</v>
      </c>
      <c r="M195" s="55">
        <v>0</v>
      </c>
      <c r="N195" s="55"/>
    </row>
    <row r="196" spans="1:14">
      <c r="A196" s="55">
        <v>155</v>
      </c>
      <c r="B196" s="55" t="s">
        <v>1012</v>
      </c>
      <c r="C196" s="55" t="s">
        <v>20</v>
      </c>
      <c r="D196" s="22">
        <v>1</v>
      </c>
      <c r="E196" s="22">
        <v>0</v>
      </c>
      <c r="F196" s="22">
        <v>1</v>
      </c>
      <c r="G196" s="22">
        <v>0</v>
      </c>
      <c r="H196" s="62">
        <v>0</v>
      </c>
      <c r="I196" s="62">
        <v>0</v>
      </c>
      <c r="J196" s="62">
        <v>0.01</v>
      </c>
      <c r="K196" s="62">
        <v>0.01</v>
      </c>
      <c r="L196" s="62">
        <v>0</v>
      </c>
      <c r="M196" s="62">
        <v>0</v>
      </c>
      <c r="N196" s="55"/>
    </row>
    <row r="197" spans="1:14">
      <c r="A197" s="55">
        <v>156</v>
      </c>
      <c r="B197" s="55" t="s">
        <v>1090</v>
      </c>
      <c r="C197" s="55" t="s">
        <v>20</v>
      </c>
      <c r="D197" s="22">
        <v>1</v>
      </c>
      <c r="E197" s="22">
        <v>0</v>
      </c>
      <c r="F197" s="22">
        <v>1</v>
      </c>
      <c r="G197" s="22">
        <v>0</v>
      </c>
      <c r="H197" s="55">
        <v>0</v>
      </c>
      <c r="I197" s="55">
        <v>0</v>
      </c>
      <c r="J197" s="55">
        <v>0.01</v>
      </c>
      <c r="K197" s="55">
        <v>0.01</v>
      </c>
      <c r="L197" s="55">
        <v>0</v>
      </c>
      <c r="M197" s="55">
        <v>0</v>
      </c>
      <c r="N197" s="55"/>
    </row>
    <row r="198" spans="1:14">
      <c r="A198" s="55">
        <v>157</v>
      </c>
      <c r="B198" s="55" t="s">
        <v>1072</v>
      </c>
      <c r="C198" s="55" t="s">
        <v>20</v>
      </c>
      <c r="D198" s="22">
        <v>1</v>
      </c>
      <c r="E198" s="22">
        <v>0</v>
      </c>
      <c r="F198" s="22">
        <v>1</v>
      </c>
      <c r="G198" s="22">
        <v>0</v>
      </c>
      <c r="H198" s="55">
        <v>0</v>
      </c>
      <c r="I198" s="55">
        <v>0</v>
      </c>
      <c r="J198" s="55">
        <v>0.01</v>
      </c>
      <c r="K198" s="55">
        <v>0.01</v>
      </c>
      <c r="L198" s="55">
        <v>0</v>
      </c>
      <c r="M198" s="55">
        <v>0</v>
      </c>
      <c r="N198" s="55"/>
    </row>
    <row r="199" spans="1:14">
      <c r="A199" s="55">
        <v>158</v>
      </c>
      <c r="B199" s="55" t="s">
        <v>1023</v>
      </c>
      <c r="C199" s="55" t="s">
        <v>19</v>
      </c>
      <c r="D199" s="22">
        <v>1</v>
      </c>
      <c r="E199" s="22">
        <v>0</v>
      </c>
      <c r="F199" s="22">
        <v>1</v>
      </c>
      <c r="G199" s="22">
        <v>0</v>
      </c>
      <c r="H199" s="55">
        <v>0</v>
      </c>
      <c r="I199" s="55">
        <v>0</v>
      </c>
      <c r="J199" s="55">
        <v>0.01</v>
      </c>
      <c r="K199" s="55">
        <v>0.01</v>
      </c>
      <c r="L199" s="55">
        <v>0</v>
      </c>
      <c r="M199" s="55">
        <v>0</v>
      </c>
      <c r="N199" s="55"/>
    </row>
    <row r="200" spans="1:14">
      <c r="A200" s="55">
        <v>159</v>
      </c>
      <c r="B200" s="55" t="s">
        <v>975</v>
      </c>
      <c r="C200" s="55" t="s">
        <v>19</v>
      </c>
      <c r="D200" s="22">
        <v>1</v>
      </c>
      <c r="E200" s="22">
        <v>0</v>
      </c>
      <c r="F200" s="22">
        <v>1</v>
      </c>
      <c r="G200" s="22">
        <v>0</v>
      </c>
      <c r="H200" s="55">
        <v>0</v>
      </c>
      <c r="I200" s="55">
        <v>0</v>
      </c>
      <c r="J200" s="55">
        <v>0.01</v>
      </c>
      <c r="K200" s="55">
        <v>0.01</v>
      </c>
      <c r="L200" s="55">
        <v>0</v>
      </c>
      <c r="M200" s="55">
        <v>0</v>
      </c>
      <c r="N200" s="55"/>
    </row>
    <row r="201" spans="1:14">
      <c r="A201" s="55">
        <v>160</v>
      </c>
      <c r="B201" s="55" t="s">
        <v>1024</v>
      </c>
      <c r="C201" s="55" t="s">
        <v>19</v>
      </c>
      <c r="D201" s="22">
        <v>1</v>
      </c>
      <c r="E201" s="22">
        <v>0</v>
      </c>
      <c r="F201" s="22">
        <v>1</v>
      </c>
      <c r="G201" s="22">
        <v>0</v>
      </c>
      <c r="H201" s="55">
        <v>0</v>
      </c>
      <c r="I201" s="55">
        <v>0</v>
      </c>
      <c r="J201" s="55">
        <v>0.01</v>
      </c>
      <c r="K201" s="55">
        <v>0.01</v>
      </c>
      <c r="L201" s="55">
        <v>0</v>
      </c>
      <c r="M201" s="55">
        <v>0</v>
      </c>
      <c r="N201" s="55"/>
    </row>
    <row r="202" spans="1:14">
      <c r="A202" s="55">
        <v>161</v>
      </c>
      <c r="B202" s="55" t="s">
        <v>333</v>
      </c>
      <c r="C202" s="55" t="s">
        <v>19</v>
      </c>
      <c r="D202" s="22">
        <v>1</v>
      </c>
      <c r="E202" s="22">
        <v>0</v>
      </c>
      <c r="F202" s="22">
        <v>1</v>
      </c>
      <c r="G202" s="22">
        <v>0</v>
      </c>
      <c r="H202" s="55">
        <v>0</v>
      </c>
      <c r="I202" s="55">
        <v>0</v>
      </c>
      <c r="J202" s="55">
        <v>0.01</v>
      </c>
      <c r="K202" s="55">
        <v>0.01</v>
      </c>
      <c r="L202" s="55">
        <v>0</v>
      </c>
      <c r="M202" s="55">
        <v>0</v>
      </c>
      <c r="N202" s="55"/>
    </row>
    <row r="203" spans="1:14">
      <c r="A203" s="55">
        <v>162</v>
      </c>
      <c r="B203" s="55" t="s">
        <v>1116</v>
      </c>
      <c r="C203" s="55" t="s">
        <v>19</v>
      </c>
      <c r="D203" s="22">
        <v>1</v>
      </c>
      <c r="E203" s="22">
        <v>0</v>
      </c>
      <c r="F203" s="22">
        <v>1</v>
      </c>
      <c r="G203" s="22">
        <v>0</v>
      </c>
      <c r="H203" s="55">
        <v>0</v>
      </c>
      <c r="I203" s="55">
        <v>0</v>
      </c>
      <c r="J203" s="55">
        <v>0.01</v>
      </c>
      <c r="K203" s="55">
        <v>0.01</v>
      </c>
      <c r="L203" s="55">
        <v>0</v>
      </c>
      <c r="M203" s="55">
        <v>0</v>
      </c>
      <c r="N203" s="55"/>
    </row>
    <row r="204" spans="1:14">
      <c r="A204" s="55">
        <v>163</v>
      </c>
      <c r="B204" s="55" t="s">
        <v>371</v>
      </c>
      <c r="C204" s="55" t="s">
        <v>19</v>
      </c>
      <c r="D204" s="22">
        <v>0</v>
      </c>
      <c r="E204" s="22">
        <v>138</v>
      </c>
      <c r="F204" s="22">
        <v>0</v>
      </c>
      <c r="G204" s="22">
        <v>138</v>
      </c>
      <c r="H204" s="55">
        <v>-100</v>
      </c>
      <c r="I204" s="55">
        <v>-100</v>
      </c>
      <c r="J204" s="55">
        <v>0</v>
      </c>
      <c r="K204" s="55">
        <v>0</v>
      </c>
      <c r="L204" s="55">
        <v>1.81</v>
      </c>
      <c r="M204" s="55">
        <v>1.81</v>
      </c>
      <c r="N204" s="55"/>
    </row>
    <row r="205" spans="1:14">
      <c r="A205" s="55">
        <v>164</v>
      </c>
      <c r="B205" s="55" t="s">
        <v>338</v>
      </c>
      <c r="C205" s="55" t="s">
        <v>19</v>
      </c>
      <c r="D205" s="22">
        <v>0</v>
      </c>
      <c r="E205" s="22">
        <v>68</v>
      </c>
      <c r="F205" s="22">
        <v>0</v>
      </c>
      <c r="G205" s="22">
        <v>68</v>
      </c>
      <c r="H205" s="55">
        <v>-100</v>
      </c>
      <c r="I205" s="55">
        <v>-100</v>
      </c>
      <c r="J205" s="55">
        <v>0</v>
      </c>
      <c r="K205" s="55">
        <v>0</v>
      </c>
      <c r="L205" s="55">
        <v>0.89</v>
      </c>
      <c r="M205" s="55">
        <v>0.89</v>
      </c>
      <c r="N205" s="55"/>
    </row>
    <row r="206" spans="1:14">
      <c r="A206" s="134">
        <v>165</v>
      </c>
      <c r="B206" s="134" t="s">
        <v>373</v>
      </c>
      <c r="C206" s="134" t="s">
        <v>19</v>
      </c>
      <c r="D206" s="141">
        <v>0</v>
      </c>
      <c r="E206" s="141">
        <v>29</v>
      </c>
      <c r="F206" s="141">
        <v>0</v>
      </c>
      <c r="G206" s="141">
        <v>29</v>
      </c>
      <c r="H206" s="134">
        <v>-100</v>
      </c>
      <c r="I206" s="134">
        <v>-100</v>
      </c>
      <c r="J206" s="134">
        <v>0</v>
      </c>
      <c r="K206" s="134">
        <v>0</v>
      </c>
      <c r="L206" s="134">
        <v>0.38</v>
      </c>
      <c r="M206" s="134">
        <v>0.38</v>
      </c>
      <c r="N206" s="55"/>
    </row>
    <row r="207" spans="1:14">
      <c r="A207" s="134">
        <v>166</v>
      </c>
      <c r="B207" s="134" t="s">
        <v>79</v>
      </c>
      <c r="C207" s="134" t="s">
        <v>20</v>
      </c>
      <c r="D207" s="141">
        <v>0</v>
      </c>
      <c r="E207" s="141">
        <v>24</v>
      </c>
      <c r="F207" s="141">
        <v>0</v>
      </c>
      <c r="G207" s="141">
        <v>24</v>
      </c>
      <c r="H207" s="134">
        <v>-100</v>
      </c>
      <c r="I207" s="134">
        <v>-100</v>
      </c>
      <c r="J207" s="134">
        <v>0</v>
      </c>
      <c r="K207" s="134">
        <v>0</v>
      </c>
      <c r="L207" s="134">
        <v>0.31</v>
      </c>
      <c r="M207" s="134">
        <v>0.31</v>
      </c>
      <c r="N207" s="55"/>
    </row>
    <row r="208" spans="1:14">
      <c r="A208" s="134">
        <v>167</v>
      </c>
      <c r="B208" s="134" t="s">
        <v>529</v>
      </c>
      <c r="C208" s="134" t="s">
        <v>20</v>
      </c>
      <c r="D208" s="141">
        <v>0</v>
      </c>
      <c r="E208" s="141">
        <v>18</v>
      </c>
      <c r="F208" s="141">
        <v>0</v>
      </c>
      <c r="G208" s="141">
        <v>18</v>
      </c>
      <c r="H208" s="134">
        <v>-100</v>
      </c>
      <c r="I208" s="134">
        <v>-100</v>
      </c>
      <c r="J208" s="134">
        <v>0</v>
      </c>
      <c r="K208" s="134">
        <v>0</v>
      </c>
      <c r="L208" s="134">
        <v>0.24</v>
      </c>
      <c r="M208" s="134">
        <v>0.24</v>
      </c>
      <c r="N208" s="55"/>
    </row>
    <row r="209" spans="1:14">
      <c r="A209" s="134">
        <v>168</v>
      </c>
      <c r="B209" s="134" t="s">
        <v>340</v>
      </c>
      <c r="C209" s="134" t="s">
        <v>19</v>
      </c>
      <c r="D209" s="141">
        <v>0</v>
      </c>
      <c r="E209" s="141">
        <v>17</v>
      </c>
      <c r="F209" s="141">
        <v>0</v>
      </c>
      <c r="G209" s="141">
        <v>17</v>
      </c>
      <c r="H209" s="134">
        <v>-100</v>
      </c>
      <c r="I209" s="134">
        <v>-100</v>
      </c>
      <c r="J209" s="134">
        <v>0</v>
      </c>
      <c r="K209" s="134">
        <v>0</v>
      </c>
      <c r="L209" s="134">
        <v>0.22</v>
      </c>
      <c r="M209" s="134">
        <v>0.22</v>
      </c>
      <c r="N209" s="55"/>
    </row>
    <row r="210" spans="1:14">
      <c r="A210" s="134">
        <v>169</v>
      </c>
      <c r="B210" s="134" t="s">
        <v>585</v>
      </c>
      <c r="C210" s="134" t="s">
        <v>20</v>
      </c>
      <c r="D210" s="141">
        <v>0</v>
      </c>
      <c r="E210" s="141">
        <v>12</v>
      </c>
      <c r="F210" s="141">
        <v>0</v>
      </c>
      <c r="G210" s="141">
        <v>12</v>
      </c>
      <c r="H210" s="134">
        <v>-100</v>
      </c>
      <c r="I210" s="134">
        <v>-100</v>
      </c>
      <c r="J210" s="134">
        <v>0</v>
      </c>
      <c r="K210" s="134">
        <v>0</v>
      </c>
      <c r="L210" s="134">
        <v>0.16</v>
      </c>
      <c r="M210" s="134">
        <v>0.16</v>
      </c>
      <c r="N210" s="55"/>
    </row>
    <row r="211" spans="1:14">
      <c r="A211" s="134">
        <v>170</v>
      </c>
      <c r="B211" s="134" t="s">
        <v>70</v>
      </c>
      <c r="C211" s="134" t="s">
        <v>19</v>
      </c>
      <c r="D211" s="141">
        <v>0</v>
      </c>
      <c r="E211" s="141">
        <v>10</v>
      </c>
      <c r="F211" s="141">
        <v>0</v>
      </c>
      <c r="G211" s="141">
        <v>10</v>
      </c>
      <c r="H211" s="134">
        <v>-100</v>
      </c>
      <c r="I211" s="134">
        <v>-100</v>
      </c>
      <c r="J211" s="134">
        <v>0</v>
      </c>
      <c r="K211" s="134">
        <v>0</v>
      </c>
      <c r="L211" s="134">
        <v>0.13</v>
      </c>
      <c r="M211" s="134">
        <v>0.13</v>
      </c>
      <c r="N211" s="55"/>
    </row>
    <row r="212" spans="1:14">
      <c r="A212" s="134">
        <v>171</v>
      </c>
      <c r="B212" s="134" t="s">
        <v>462</v>
      </c>
      <c r="C212" s="134" t="s">
        <v>20</v>
      </c>
      <c r="D212" s="141">
        <v>0</v>
      </c>
      <c r="E212" s="141">
        <v>9</v>
      </c>
      <c r="F212" s="141">
        <v>0</v>
      </c>
      <c r="G212" s="141">
        <v>9</v>
      </c>
      <c r="H212" s="134">
        <v>-100</v>
      </c>
      <c r="I212" s="134">
        <v>-100</v>
      </c>
      <c r="J212" s="134">
        <v>0</v>
      </c>
      <c r="K212" s="134">
        <v>0</v>
      </c>
      <c r="L212" s="134">
        <v>0.12</v>
      </c>
      <c r="M212" s="134">
        <v>0.12</v>
      </c>
      <c r="N212" s="55"/>
    </row>
    <row r="213" spans="1:14">
      <c r="A213" s="134">
        <v>172</v>
      </c>
      <c r="B213" s="134" t="s">
        <v>401</v>
      </c>
      <c r="C213" s="134" t="s">
        <v>19</v>
      </c>
      <c r="D213" s="141">
        <v>0</v>
      </c>
      <c r="E213" s="141">
        <v>8</v>
      </c>
      <c r="F213" s="141">
        <v>0</v>
      </c>
      <c r="G213" s="141">
        <v>8</v>
      </c>
      <c r="H213" s="134">
        <v>-100</v>
      </c>
      <c r="I213" s="134">
        <v>-100</v>
      </c>
      <c r="J213" s="134">
        <v>0</v>
      </c>
      <c r="K213" s="134">
        <v>0</v>
      </c>
      <c r="L213" s="134">
        <v>0.1</v>
      </c>
      <c r="M213" s="134">
        <v>0.1</v>
      </c>
      <c r="N213" s="55"/>
    </row>
    <row r="214" spans="1:14">
      <c r="A214" s="134">
        <v>173</v>
      </c>
      <c r="B214" s="134" t="s">
        <v>515</v>
      </c>
      <c r="C214" s="134" t="s">
        <v>19</v>
      </c>
      <c r="D214" s="141">
        <v>0</v>
      </c>
      <c r="E214" s="141">
        <v>7</v>
      </c>
      <c r="F214" s="141">
        <v>0</v>
      </c>
      <c r="G214" s="141">
        <v>7</v>
      </c>
      <c r="H214" s="134">
        <v>-100</v>
      </c>
      <c r="I214" s="134">
        <v>-100</v>
      </c>
      <c r="J214" s="134">
        <v>0</v>
      </c>
      <c r="K214" s="134">
        <v>0</v>
      </c>
      <c r="L214" s="134">
        <v>0.09</v>
      </c>
      <c r="M214" s="134">
        <v>0.09</v>
      </c>
      <c r="N214" s="55"/>
    </row>
    <row r="215" spans="1:14">
      <c r="A215" s="134">
        <v>174</v>
      </c>
      <c r="B215" s="134" t="s">
        <v>465</v>
      </c>
      <c r="C215" s="134" t="s">
        <v>20</v>
      </c>
      <c r="D215" s="141">
        <v>0</v>
      </c>
      <c r="E215" s="141">
        <v>6</v>
      </c>
      <c r="F215" s="141">
        <v>0</v>
      </c>
      <c r="G215" s="141">
        <v>6</v>
      </c>
      <c r="H215" s="136">
        <v>-100</v>
      </c>
      <c r="I215" s="136">
        <v>-100</v>
      </c>
      <c r="J215" s="136">
        <v>0</v>
      </c>
      <c r="K215" s="136">
        <v>0</v>
      </c>
      <c r="L215" s="136">
        <v>0.08</v>
      </c>
      <c r="M215" s="136">
        <v>0.08</v>
      </c>
      <c r="N215" s="55"/>
    </row>
    <row r="216" spans="1:14">
      <c r="A216" s="134">
        <v>175</v>
      </c>
      <c r="B216" s="134" t="s">
        <v>591</v>
      </c>
      <c r="C216" s="134" t="s">
        <v>19</v>
      </c>
      <c r="D216" s="141">
        <v>0</v>
      </c>
      <c r="E216" s="141">
        <v>6</v>
      </c>
      <c r="F216" s="141">
        <v>0</v>
      </c>
      <c r="G216" s="141">
        <v>6</v>
      </c>
      <c r="H216" s="134">
        <v>-100</v>
      </c>
      <c r="I216" s="134">
        <v>-100</v>
      </c>
      <c r="J216" s="134">
        <v>0</v>
      </c>
      <c r="K216" s="134">
        <v>0</v>
      </c>
      <c r="L216" s="134">
        <v>0.08</v>
      </c>
      <c r="M216" s="134">
        <v>0.08</v>
      </c>
      <c r="N216" s="55"/>
    </row>
    <row r="217" spans="1:14">
      <c r="A217" s="134">
        <v>176</v>
      </c>
      <c r="B217" s="134" t="s">
        <v>375</v>
      </c>
      <c r="C217" s="134" t="s">
        <v>20</v>
      </c>
      <c r="D217" s="141">
        <v>0</v>
      </c>
      <c r="E217" s="141">
        <v>4</v>
      </c>
      <c r="F217" s="141">
        <v>0</v>
      </c>
      <c r="G217" s="141">
        <v>4</v>
      </c>
      <c r="H217" s="134">
        <v>-100</v>
      </c>
      <c r="I217" s="134">
        <v>-100</v>
      </c>
      <c r="J217" s="134">
        <v>0</v>
      </c>
      <c r="K217" s="134">
        <v>0</v>
      </c>
      <c r="L217" s="134">
        <v>0.05</v>
      </c>
      <c r="M217" s="134">
        <v>0.05</v>
      </c>
      <c r="N217" s="55"/>
    </row>
    <row r="218" spans="1:14">
      <c r="A218" s="134">
        <v>177</v>
      </c>
      <c r="B218" s="134" t="s">
        <v>644</v>
      </c>
      <c r="C218" s="134" t="s">
        <v>19</v>
      </c>
      <c r="D218" s="141">
        <v>0</v>
      </c>
      <c r="E218" s="141">
        <v>4</v>
      </c>
      <c r="F218" s="141">
        <v>0</v>
      </c>
      <c r="G218" s="141">
        <v>4</v>
      </c>
      <c r="H218" s="134">
        <v>-100</v>
      </c>
      <c r="I218" s="134">
        <v>-100</v>
      </c>
      <c r="J218" s="134">
        <v>0</v>
      </c>
      <c r="K218" s="134">
        <v>0</v>
      </c>
      <c r="L218" s="134">
        <v>0.05</v>
      </c>
      <c r="M218" s="134">
        <v>0.05</v>
      </c>
      <c r="N218" s="55"/>
    </row>
    <row r="219" spans="1:14">
      <c r="A219" s="134">
        <v>178</v>
      </c>
      <c r="B219" s="134" t="s">
        <v>402</v>
      </c>
      <c r="C219" s="134" t="s">
        <v>19</v>
      </c>
      <c r="D219" s="141">
        <v>0</v>
      </c>
      <c r="E219" s="141">
        <v>4</v>
      </c>
      <c r="F219" s="141">
        <v>0</v>
      </c>
      <c r="G219" s="141">
        <v>4</v>
      </c>
      <c r="H219" s="134">
        <v>-100</v>
      </c>
      <c r="I219" s="134">
        <v>-100</v>
      </c>
      <c r="J219" s="134">
        <v>0</v>
      </c>
      <c r="K219" s="134">
        <v>0</v>
      </c>
      <c r="L219" s="134">
        <v>0.05</v>
      </c>
      <c r="M219" s="134">
        <v>0.05</v>
      </c>
      <c r="N219" s="55"/>
    </row>
    <row r="220" spans="1:14">
      <c r="A220" s="134">
        <v>179</v>
      </c>
      <c r="B220" s="134" t="s">
        <v>396</v>
      </c>
      <c r="C220" s="134" t="s">
        <v>19</v>
      </c>
      <c r="D220" s="141">
        <v>0</v>
      </c>
      <c r="E220" s="141">
        <v>4</v>
      </c>
      <c r="F220" s="141">
        <v>0</v>
      </c>
      <c r="G220" s="141">
        <v>4</v>
      </c>
      <c r="H220" s="134">
        <v>-100</v>
      </c>
      <c r="I220" s="134">
        <v>-100</v>
      </c>
      <c r="J220" s="134">
        <v>0</v>
      </c>
      <c r="K220" s="134">
        <v>0</v>
      </c>
      <c r="L220" s="134">
        <v>0.05</v>
      </c>
      <c r="M220" s="134">
        <v>0.05</v>
      </c>
      <c r="N220" s="55"/>
    </row>
    <row r="221" spans="1:14">
      <c r="A221" s="134">
        <v>180</v>
      </c>
      <c r="B221" s="134" t="s">
        <v>356</v>
      </c>
      <c r="C221" s="134" t="s">
        <v>19</v>
      </c>
      <c r="D221" s="141">
        <v>0</v>
      </c>
      <c r="E221" s="141">
        <v>3</v>
      </c>
      <c r="F221" s="141">
        <v>0</v>
      </c>
      <c r="G221" s="141">
        <v>3</v>
      </c>
      <c r="H221" s="134">
        <v>-100</v>
      </c>
      <c r="I221" s="134">
        <v>-100</v>
      </c>
      <c r="J221" s="134">
        <v>0</v>
      </c>
      <c r="K221" s="134">
        <v>0</v>
      </c>
      <c r="L221" s="134">
        <v>0.04</v>
      </c>
      <c r="M221" s="134">
        <v>0.04</v>
      </c>
      <c r="N221" s="55"/>
    </row>
    <row r="222" spans="1:14">
      <c r="A222" s="134">
        <v>181</v>
      </c>
      <c r="B222" s="134" t="s">
        <v>640</v>
      </c>
      <c r="C222" s="134" t="s">
        <v>19</v>
      </c>
      <c r="D222" s="141">
        <v>0</v>
      </c>
      <c r="E222" s="141">
        <v>3</v>
      </c>
      <c r="F222" s="141">
        <v>0</v>
      </c>
      <c r="G222" s="141">
        <v>3</v>
      </c>
      <c r="H222" s="134">
        <v>-100</v>
      </c>
      <c r="I222" s="134">
        <v>-100</v>
      </c>
      <c r="J222" s="134">
        <v>0</v>
      </c>
      <c r="K222" s="134">
        <v>0</v>
      </c>
      <c r="L222" s="134">
        <v>0.04</v>
      </c>
      <c r="M222" s="134">
        <v>0.04</v>
      </c>
      <c r="N222" s="55"/>
    </row>
    <row r="223" spans="1:14">
      <c r="A223" s="134">
        <v>182</v>
      </c>
      <c r="B223" s="134" t="s">
        <v>958</v>
      </c>
      <c r="C223" s="134" t="s">
        <v>20</v>
      </c>
      <c r="D223" s="141">
        <v>0</v>
      </c>
      <c r="E223" s="141">
        <v>3</v>
      </c>
      <c r="F223" s="141">
        <v>0</v>
      </c>
      <c r="G223" s="141">
        <v>3</v>
      </c>
      <c r="H223" s="134">
        <v>-100</v>
      </c>
      <c r="I223" s="134">
        <v>-100</v>
      </c>
      <c r="J223" s="134">
        <v>0</v>
      </c>
      <c r="K223" s="134">
        <v>0</v>
      </c>
      <c r="L223" s="134">
        <v>0.04</v>
      </c>
      <c r="M223" s="134">
        <v>0.04</v>
      </c>
      <c r="N223" s="55"/>
    </row>
    <row r="224" spans="1:14">
      <c r="A224" s="134">
        <v>183</v>
      </c>
      <c r="B224" s="134" t="s">
        <v>960</v>
      </c>
      <c r="C224" s="134" t="s">
        <v>20</v>
      </c>
      <c r="D224" s="141">
        <v>0</v>
      </c>
      <c r="E224" s="141">
        <v>3</v>
      </c>
      <c r="F224" s="141">
        <v>0</v>
      </c>
      <c r="G224" s="141">
        <v>3</v>
      </c>
      <c r="H224" s="134">
        <v>-100</v>
      </c>
      <c r="I224" s="134">
        <v>-100</v>
      </c>
      <c r="J224" s="134">
        <v>0</v>
      </c>
      <c r="K224" s="134">
        <v>0</v>
      </c>
      <c r="L224" s="134">
        <v>0.04</v>
      </c>
      <c r="M224" s="134">
        <v>0.04</v>
      </c>
      <c r="N224" s="55"/>
    </row>
    <row r="225" spans="1:14">
      <c r="A225" s="134">
        <v>184</v>
      </c>
      <c r="B225" s="134" t="s">
        <v>127</v>
      </c>
      <c r="C225" s="134" t="s">
        <v>19</v>
      </c>
      <c r="D225" s="141">
        <v>0</v>
      </c>
      <c r="E225" s="141">
        <v>2</v>
      </c>
      <c r="F225" s="141">
        <v>0</v>
      </c>
      <c r="G225" s="141">
        <v>2</v>
      </c>
      <c r="H225" s="134">
        <v>-100</v>
      </c>
      <c r="I225" s="134">
        <v>-100</v>
      </c>
      <c r="J225" s="134">
        <v>0</v>
      </c>
      <c r="K225" s="134">
        <v>0</v>
      </c>
      <c r="L225" s="134">
        <v>0.03</v>
      </c>
      <c r="M225" s="134">
        <v>0.03</v>
      </c>
      <c r="N225" s="55"/>
    </row>
    <row r="226" spans="1:14">
      <c r="A226" s="134">
        <v>185</v>
      </c>
      <c r="B226" s="134" t="s">
        <v>394</v>
      </c>
      <c r="C226" s="134" t="s">
        <v>19</v>
      </c>
      <c r="D226" s="141">
        <v>0</v>
      </c>
      <c r="E226" s="141">
        <v>2</v>
      </c>
      <c r="F226" s="141">
        <v>0</v>
      </c>
      <c r="G226" s="141">
        <v>2</v>
      </c>
      <c r="H226" s="134">
        <v>-100</v>
      </c>
      <c r="I226" s="134">
        <v>-100</v>
      </c>
      <c r="J226" s="134">
        <v>0</v>
      </c>
      <c r="K226" s="134">
        <v>0</v>
      </c>
      <c r="L226" s="134">
        <v>0.03</v>
      </c>
      <c r="M226" s="134">
        <v>0.03</v>
      </c>
      <c r="N226" s="55"/>
    </row>
    <row r="227" spans="1:14">
      <c r="A227" s="134">
        <v>186</v>
      </c>
      <c r="B227" s="134" t="s">
        <v>612</v>
      </c>
      <c r="C227" s="134" t="s">
        <v>19</v>
      </c>
      <c r="D227" s="141">
        <v>0</v>
      </c>
      <c r="E227" s="141">
        <v>2</v>
      </c>
      <c r="F227" s="141">
        <v>0</v>
      </c>
      <c r="G227" s="141">
        <v>2</v>
      </c>
      <c r="H227" s="134">
        <v>-100</v>
      </c>
      <c r="I227" s="134">
        <v>-100</v>
      </c>
      <c r="J227" s="134">
        <v>0</v>
      </c>
      <c r="K227" s="134">
        <v>0</v>
      </c>
      <c r="L227" s="134">
        <v>0.03</v>
      </c>
      <c r="M227" s="134">
        <v>0.03</v>
      </c>
      <c r="N227" s="55"/>
    </row>
    <row r="228" spans="1:14">
      <c r="A228" s="134">
        <v>187</v>
      </c>
      <c r="B228" s="134" t="s">
        <v>646</v>
      </c>
      <c r="C228" s="134" t="s">
        <v>20</v>
      </c>
      <c r="D228" s="141">
        <v>0</v>
      </c>
      <c r="E228" s="141">
        <v>2</v>
      </c>
      <c r="F228" s="141">
        <v>0</v>
      </c>
      <c r="G228" s="141">
        <v>2</v>
      </c>
      <c r="H228" s="134">
        <v>-100</v>
      </c>
      <c r="I228" s="134">
        <v>-100</v>
      </c>
      <c r="J228" s="134">
        <v>0</v>
      </c>
      <c r="K228" s="134">
        <v>0</v>
      </c>
      <c r="L228" s="134">
        <v>0.03</v>
      </c>
      <c r="M228" s="134">
        <v>0.03</v>
      </c>
      <c r="N228" s="55"/>
    </row>
    <row r="229" spans="1:14">
      <c r="A229" s="134">
        <v>188</v>
      </c>
      <c r="B229" s="134" t="s">
        <v>403</v>
      </c>
      <c r="C229" s="134" t="s">
        <v>19</v>
      </c>
      <c r="D229" s="141">
        <v>0</v>
      </c>
      <c r="E229" s="141">
        <v>2</v>
      </c>
      <c r="F229" s="141">
        <v>0</v>
      </c>
      <c r="G229" s="141">
        <v>2</v>
      </c>
      <c r="H229" s="134">
        <v>-100</v>
      </c>
      <c r="I229" s="134">
        <v>-100</v>
      </c>
      <c r="J229" s="134">
        <v>0</v>
      </c>
      <c r="K229" s="134">
        <v>0</v>
      </c>
      <c r="L229" s="134">
        <v>0.03</v>
      </c>
      <c r="M229" s="134">
        <v>0.03</v>
      </c>
      <c r="N229" s="55"/>
    </row>
    <row r="230" spans="1:14">
      <c r="A230" s="134">
        <v>189</v>
      </c>
      <c r="B230" s="134" t="s">
        <v>407</v>
      </c>
      <c r="C230" s="134" t="s">
        <v>19</v>
      </c>
      <c r="D230" s="141">
        <v>0</v>
      </c>
      <c r="E230" s="141">
        <v>1</v>
      </c>
      <c r="F230" s="141">
        <v>0</v>
      </c>
      <c r="G230" s="141">
        <v>1</v>
      </c>
      <c r="H230" s="134">
        <v>-100</v>
      </c>
      <c r="I230" s="134">
        <v>-100</v>
      </c>
      <c r="J230" s="134">
        <v>0</v>
      </c>
      <c r="K230" s="134">
        <v>0</v>
      </c>
      <c r="L230" s="134">
        <v>0.01</v>
      </c>
      <c r="M230" s="134">
        <v>0.01</v>
      </c>
      <c r="N230" s="55"/>
    </row>
    <row r="231" spans="1:14">
      <c r="A231" s="134">
        <v>190</v>
      </c>
      <c r="B231" s="134" t="s">
        <v>339</v>
      </c>
      <c r="C231" s="134" t="s">
        <v>19</v>
      </c>
      <c r="D231" s="141">
        <v>0</v>
      </c>
      <c r="E231" s="141">
        <v>1</v>
      </c>
      <c r="F231" s="141">
        <v>0</v>
      </c>
      <c r="G231" s="141">
        <v>1</v>
      </c>
      <c r="H231" s="134">
        <v>-100</v>
      </c>
      <c r="I231" s="134">
        <v>-100</v>
      </c>
      <c r="J231" s="134">
        <v>0</v>
      </c>
      <c r="K231" s="134">
        <v>0</v>
      </c>
      <c r="L231" s="134">
        <v>0.01</v>
      </c>
      <c r="M231" s="134">
        <v>0.01</v>
      </c>
      <c r="N231" s="55"/>
    </row>
    <row r="232" spans="1:14">
      <c r="A232" s="134">
        <v>191</v>
      </c>
      <c r="B232" s="134" t="s">
        <v>395</v>
      </c>
      <c r="C232" s="134" t="s">
        <v>19</v>
      </c>
      <c r="D232" s="141">
        <v>0</v>
      </c>
      <c r="E232" s="141">
        <v>1</v>
      </c>
      <c r="F232" s="141">
        <v>0</v>
      </c>
      <c r="G232" s="141">
        <v>1</v>
      </c>
      <c r="H232" s="134">
        <v>-100</v>
      </c>
      <c r="I232" s="134">
        <v>-100</v>
      </c>
      <c r="J232" s="134">
        <v>0</v>
      </c>
      <c r="K232" s="134">
        <v>0</v>
      </c>
      <c r="L232" s="134">
        <v>0.01</v>
      </c>
      <c r="M232" s="134">
        <v>0.01</v>
      </c>
      <c r="N232" s="55"/>
    </row>
    <row r="233" spans="1:14">
      <c r="A233" s="134">
        <v>192</v>
      </c>
      <c r="B233" s="134" t="s">
        <v>981</v>
      </c>
      <c r="C233" s="134" t="s">
        <v>19</v>
      </c>
      <c r="D233" s="141">
        <v>0</v>
      </c>
      <c r="E233" s="141">
        <v>1</v>
      </c>
      <c r="F233" s="141">
        <v>0</v>
      </c>
      <c r="G233" s="141">
        <v>1</v>
      </c>
      <c r="H233" s="134">
        <v>-100</v>
      </c>
      <c r="I233" s="134">
        <v>-100</v>
      </c>
      <c r="J233" s="134">
        <v>0</v>
      </c>
      <c r="K233" s="134">
        <v>0</v>
      </c>
      <c r="L233" s="134">
        <v>0.01</v>
      </c>
      <c r="M233" s="134">
        <v>0.01</v>
      </c>
      <c r="N233" s="55"/>
    </row>
    <row r="234" spans="1:14">
      <c r="A234" s="134">
        <v>193</v>
      </c>
      <c r="B234" s="134" t="s">
        <v>979</v>
      </c>
      <c r="C234" s="134" t="s">
        <v>20</v>
      </c>
      <c r="D234" s="141">
        <v>0</v>
      </c>
      <c r="E234" s="141">
        <v>1</v>
      </c>
      <c r="F234" s="141">
        <v>0</v>
      </c>
      <c r="G234" s="141">
        <v>1</v>
      </c>
      <c r="H234" s="134">
        <v>-100</v>
      </c>
      <c r="I234" s="134">
        <v>-100</v>
      </c>
      <c r="J234" s="134">
        <v>0</v>
      </c>
      <c r="K234" s="134">
        <v>0</v>
      </c>
      <c r="L234" s="134">
        <v>0.01</v>
      </c>
      <c r="M234" s="134">
        <v>0.01</v>
      </c>
      <c r="N234" s="55"/>
    </row>
    <row r="235" spans="1:14">
      <c r="A235" s="134">
        <v>194</v>
      </c>
      <c r="B235" s="134" t="s">
        <v>910</v>
      </c>
      <c r="C235" s="134" t="s">
        <v>19</v>
      </c>
      <c r="D235" s="141">
        <v>0</v>
      </c>
      <c r="E235" s="141">
        <v>1</v>
      </c>
      <c r="F235" s="141">
        <v>0</v>
      </c>
      <c r="G235" s="141">
        <v>1</v>
      </c>
      <c r="H235" s="134">
        <v>-100</v>
      </c>
      <c r="I235" s="134">
        <v>-100</v>
      </c>
      <c r="J235" s="134">
        <v>0</v>
      </c>
      <c r="K235" s="134">
        <v>0</v>
      </c>
      <c r="L235" s="134">
        <v>0.01</v>
      </c>
      <c r="M235" s="134">
        <v>0.01</v>
      </c>
      <c r="N235" s="55"/>
    </row>
    <row r="236" spans="1:14">
      <c r="A236" s="134">
        <v>195</v>
      </c>
      <c r="B236" s="134" t="s">
        <v>520</v>
      </c>
      <c r="C236" s="134" t="s">
        <v>20</v>
      </c>
      <c r="D236" s="141">
        <v>0</v>
      </c>
      <c r="E236" s="141">
        <v>1</v>
      </c>
      <c r="F236" s="141">
        <v>0</v>
      </c>
      <c r="G236" s="141">
        <v>1</v>
      </c>
      <c r="H236" s="134">
        <v>-100</v>
      </c>
      <c r="I236" s="134">
        <v>-100</v>
      </c>
      <c r="J236" s="134">
        <v>0</v>
      </c>
      <c r="K236" s="134">
        <v>0</v>
      </c>
      <c r="L236" s="134">
        <v>0.01</v>
      </c>
      <c r="M236" s="134">
        <v>0.01</v>
      </c>
      <c r="N236" s="55"/>
    </row>
    <row r="237" spans="1:14">
      <c r="A237" s="134">
        <v>196</v>
      </c>
      <c r="B237" s="134" t="s">
        <v>216</v>
      </c>
      <c r="C237" s="134" t="s">
        <v>20</v>
      </c>
      <c r="D237" s="141">
        <v>0</v>
      </c>
      <c r="E237" s="141">
        <v>1</v>
      </c>
      <c r="F237" s="141">
        <v>0</v>
      </c>
      <c r="G237" s="141">
        <v>1</v>
      </c>
      <c r="H237" s="134">
        <v>-100</v>
      </c>
      <c r="I237" s="134">
        <v>-100</v>
      </c>
      <c r="J237" s="134">
        <v>0</v>
      </c>
      <c r="K237" s="134">
        <v>0</v>
      </c>
      <c r="L237" s="134">
        <v>0.01</v>
      </c>
      <c r="M237" s="134">
        <v>0.01</v>
      </c>
      <c r="N237" s="55"/>
    </row>
    <row r="238" spans="1:14">
      <c r="A238" s="134">
        <v>197</v>
      </c>
      <c r="B238" s="134" t="s">
        <v>408</v>
      </c>
      <c r="C238" s="134" t="s">
        <v>20</v>
      </c>
      <c r="D238" s="141">
        <v>128</v>
      </c>
      <c r="E238" s="141">
        <v>3</v>
      </c>
      <c r="F238" s="141">
        <v>128</v>
      </c>
      <c r="G238" s="141">
        <v>3</v>
      </c>
      <c r="H238" s="134">
        <v>4166.67</v>
      </c>
      <c r="I238" s="134">
        <v>4166.67</v>
      </c>
      <c r="J238" s="134">
        <v>1.42</v>
      </c>
      <c r="K238" s="134">
        <v>1.42</v>
      </c>
      <c r="L238" s="134">
        <v>0.04</v>
      </c>
      <c r="M238" s="134">
        <v>0.04</v>
      </c>
      <c r="N238" s="55"/>
    </row>
    <row r="239" spans="1:14">
      <c r="A239" s="134"/>
      <c r="B239" s="134" t="s">
        <v>425</v>
      </c>
      <c r="C239" s="134"/>
      <c r="D239" s="141">
        <f>SUBTOTAL(109,getAggRechargeModels[antalPerioden])</f>
        <v>9008</v>
      </c>
      <c r="E239" s="141">
        <f>SUBTOTAL(109,getAggRechargeModels[antalFGPeriod])</f>
        <v>7628</v>
      </c>
      <c r="F239" s="141">
        <f>SUBTOTAL(109,getAggRechargeModels[antalÅret])</f>
        <v>9008</v>
      </c>
      <c r="G239" s="141">
        <f>SUBTOTAL(109,getAggRechargeModels[antalFGAr])</f>
        <v>7628</v>
      </c>
      <c r="H239" s="136">
        <f>IF(getAggRechargeModels[[#Totals],[antalFGPeriod]] &gt;0,(getAggRechargeModels[[#Totals],[antalPerioden]] - getAggRechargeModels[[#Totals],[antalFGPeriod]] ) / getAggRechargeModels[[#Totals],[antalFGPeriod]] *100,0)</f>
        <v>18.091242789722077</v>
      </c>
      <c r="I239" s="136">
        <f>IF(getAggRechargeModels[[#Totals],[antalFGAr]] &gt; 0,( getAggRechargeModels[[#Totals],[antalÅret]] - getAggRechargeModels[[#Totals],[antalFGAr]] ) / getAggRechargeModels[[#Totals],[antalFGAr]] * 100,0)</f>
        <v>18.091242789722077</v>
      </c>
      <c r="J239" s="142">
        <f>IF(getAggModelsPB[[#Totals],[antalPerioden]] &gt; 0,getAggRechargeModels[[#Totals],[antalPerioden]]  / getAggModelsPB[[#Totals],[antalPerioden]] * 100,0)</f>
        <v>52.481938941971571</v>
      </c>
      <c r="K239" s="142">
        <f>IF(getAggModelsPB[[#Totals],[antalÅret]] &gt; 0,getAggRechargeModels[[#Totals],[antalÅret]]  / getAggModelsPB[[#Totals],[antalÅret]] * 100,0)</f>
        <v>52.481938941971571</v>
      </c>
      <c r="L239" s="142">
        <f>IF(getAggModelsPB[[#Totals],[antalFGPeriod]] &gt; 0,getAggRechargeModels[[#Totals],[antalFGPeriod]]  / getAggModelsPB[[#Totals],[antalFGPeriod]] * 100,0)</f>
        <v>52.242997054996231</v>
      </c>
      <c r="M239" s="142">
        <f>IF(getAggModelsPB[[#Totals],[antalFGAr]] &gt; 0,getAggRechargeModels[[#Totals],[antalFGAr]]  / getAggModelsPB[[#Totals],[antalFGAr]] * 100,0)</f>
        <v>52.242997054996231</v>
      </c>
      <c r="N239" s="55"/>
    </row>
    <row r="240" spans="1:14">
      <c r="A240" s="134"/>
      <c r="B240" s="134"/>
      <c r="C240" s="134"/>
      <c r="D240" s="141"/>
      <c r="E240" s="141"/>
      <c r="F240" s="141"/>
      <c r="G240" s="141"/>
      <c r="H240" s="136"/>
      <c r="I240" s="136"/>
      <c r="J240" s="142"/>
      <c r="K240" s="142"/>
      <c r="L240" s="142"/>
      <c r="M240" s="142"/>
      <c r="N240" s="55"/>
    </row>
    <row r="241" spans="1:14">
      <c r="A241" s="134"/>
      <c r="B241" s="134"/>
      <c r="C241" s="134"/>
      <c r="D241" s="141"/>
      <c r="E241" s="141"/>
      <c r="F241" s="141"/>
      <c r="G241" s="141"/>
      <c r="H241" s="134"/>
      <c r="I241" s="134"/>
      <c r="J241" s="134"/>
      <c r="K241" s="134"/>
      <c r="L241" s="134"/>
      <c r="M241" s="134"/>
      <c r="N241" s="55"/>
    </row>
    <row r="242" spans="1:14">
      <c r="A242" s="134"/>
      <c r="B242" s="134"/>
      <c r="C242" s="134"/>
      <c r="D242" s="141"/>
      <c r="E242" s="141"/>
      <c r="F242" s="141"/>
      <c r="G242" s="141"/>
      <c r="H242" s="134"/>
      <c r="I242" s="134"/>
      <c r="J242" s="134"/>
      <c r="K242" s="134"/>
      <c r="L242" s="134"/>
      <c r="M242" s="134"/>
      <c r="N242" s="55"/>
    </row>
    <row r="243" spans="1:14">
      <c r="A243" s="134"/>
      <c r="B243" s="134"/>
      <c r="C243" s="134"/>
      <c r="D243" s="141"/>
      <c r="E243" s="141"/>
      <c r="F243" s="141"/>
      <c r="G243" s="141"/>
      <c r="H243" s="134"/>
      <c r="I243" s="134"/>
      <c r="J243" s="134"/>
      <c r="K243" s="134"/>
      <c r="L243" s="134"/>
      <c r="M243" s="134"/>
      <c r="N243" s="55"/>
    </row>
    <row r="244" spans="1:14">
      <c r="A244" s="134"/>
      <c r="B244" s="134"/>
      <c r="C244" s="134"/>
      <c r="D244" s="141"/>
      <c r="E244" s="141"/>
      <c r="F244" s="141"/>
      <c r="G244" s="141"/>
      <c r="H244" s="134"/>
      <c r="I244" s="134"/>
      <c r="J244" s="134"/>
      <c r="K244" s="134"/>
      <c r="L244" s="134"/>
      <c r="M244" s="134"/>
      <c r="N244" s="55"/>
    </row>
    <row r="245" spans="1:14">
      <c r="A245" s="134"/>
      <c r="B245" s="134"/>
      <c r="C245" s="134"/>
      <c r="D245" s="141"/>
      <c r="E245" s="141"/>
      <c r="F245" s="141"/>
      <c r="G245" s="141"/>
      <c r="H245" s="134"/>
      <c r="I245" s="134"/>
      <c r="J245" s="134"/>
      <c r="K245" s="134"/>
      <c r="L245" s="134"/>
      <c r="M245" s="134"/>
      <c r="N245" s="55"/>
    </row>
    <row r="246" spans="1:14">
      <c r="A246" s="134"/>
      <c r="B246" s="134"/>
      <c r="C246" s="134"/>
      <c r="D246" s="141"/>
      <c r="E246" s="141"/>
      <c r="F246" s="141"/>
      <c r="G246" s="141"/>
      <c r="H246" s="134"/>
      <c r="I246" s="134"/>
      <c r="J246" s="134"/>
      <c r="K246" s="134"/>
      <c r="L246" s="134"/>
      <c r="M246" s="134"/>
      <c r="N246" s="55"/>
    </row>
    <row r="247" spans="1:14">
      <c r="A247" s="134"/>
      <c r="B247" s="134"/>
      <c r="C247" s="134"/>
      <c r="D247" s="141"/>
      <c r="E247" s="141"/>
      <c r="F247" s="141"/>
      <c r="G247" s="141"/>
      <c r="H247" s="134"/>
      <c r="I247" s="134"/>
      <c r="J247" s="134"/>
      <c r="K247" s="134"/>
      <c r="L247" s="134"/>
      <c r="M247" s="134"/>
      <c r="N247" s="55"/>
    </row>
    <row r="248" spans="1:14">
      <c r="A248" s="134"/>
      <c r="B248" s="134"/>
      <c r="C248" s="134"/>
      <c r="D248" s="141"/>
      <c r="E248" s="141"/>
      <c r="F248" s="141"/>
      <c r="G248" s="141"/>
      <c r="H248" s="134"/>
      <c r="I248" s="134"/>
      <c r="J248" s="134"/>
      <c r="K248" s="134"/>
      <c r="L248" s="134"/>
      <c r="M248" s="134"/>
      <c r="N248" s="55"/>
    </row>
    <row r="249" spans="1:14">
      <c r="A249" s="134"/>
      <c r="B249" s="134"/>
      <c r="C249" s="134"/>
      <c r="D249" s="141"/>
      <c r="E249" s="141"/>
      <c r="F249" s="141"/>
      <c r="G249" s="141"/>
      <c r="H249" s="134"/>
      <c r="I249" s="134"/>
      <c r="J249" s="134"/>
      <c r="K249" s="134"/>
      <c r="L249" s="134"/>
      <c r="M249" s="134"/>
      <c r="N249" s="55"/>
    </row>
    <row r="250" spans="1:14">
      <c r="A250" s="134"/>
      <c r="B250" s="134"/>
      <c r="C250" s="134"/>
      <c r="D250" s="141"/>
      <c r="E250" s="141"/>
      <c r="F250" s="141"/>
      <c r="G250" s="141"/>
      <c r="H250" s="134"/>
      <c r="I250" s="134"/>
      <c r="J250" s="134"/>
      <c r="K250" s="134"/>
      <c r="L250" s="134"/>
      <c r="M250" s="134"/>
      <c r="N250" s="55"/>
    </row>
    <row r="251" spans="1:14">
      <c r="A251" s="134"/>
      <c r="B251" s="134"/>
      <c r="C251" s="134"/>
      <c r="D251" s="141"/>
      <c r="E251" s="141"/>
      <c r="F251" s="141"/>
      <c r="G251" s="141"/>
      <c r="H251" s="134"/>
      <c r="I251" s="134"/>
      <c r="J251" s="134"/>
      <c r="K251" s="134"/>
      <c r="L251" s="134"/>
      <c r="M251" s="134"/>
      <c r="N251" s="55"/>
    </row>
    <row r="252" spans="1:14">
      <c r="A252" s="134"/>
      <c r="B252" s="134"/>
      <c r="C252" s="134"/>
      <c r="D252" s="141"/>
      <c r="E252" s="141"/>
      <c r="F252" s="141"/>
      <c r="G252" s="141"/>
      <c r="H252" s="134"/>
      <c r="I252" s="134"/>
      <c r="J252" s="134"/>
      <c r="K252" s="134"/>
      <c r="L252" s="134"/>
      <c r="M252" s="134"/>
      <c r="N252" s="55"/>
    </row>
    <row r="253" spans="1:14">
      <c r="A253" s="134"/>
      <c r="B253" s="134"/>
      <c r="C253" s="134"/>
      <c r="D253" s="141"/>
      <c r="E253" s="141"/>
      <c r="F253" s="141"/>
      <c r="G253" s="141"/>
      <c r="H253" s="134"/>
      <c r="I253" s="134"/>
      <c r="J253" s="134"/>
      <c r="K253" s="134"/>
      <c r="L253" s="134"/>
      <c r="M253" s="134"/>
      <c r="N253" s="55"/>
    </row>
    <row r="254" spans="1:14">
      <c r="A254" s="134"/>
      <c r="B254" s="134"/>
      <c r="C254" s="134"/>
      <c r="D254" s="141"/>
      <c r="E254" s="141"/>
      <c r="F254" s="141"/>
      <c r="G254" s="141"/>
      <c r="H254" s="134"/>
      <c r="I254" s="134"/>
      <c r="J254" s="134"/>
      <c r="K254" s="134"/>
      <c r="L254" s="134"/>
      <c r="M254" s="134"/>
      <c r="N254" s="55"/>
    </row>
    <row r="255" spans="1:14">
      <c r="A255" s="134"/>
      <c r="B255" s="134"/>
      <c r="C255" s="134"/>
      <c r="D255" s="141"/>
      <c r="E255" s="141"/>
      <c r="F255" s="141"/>
      <c r="G255" s="141"/>
      <c r="H255" s="134"/>
      <c r="I255" s="134"/>
      <c r="J255" s="134"/>
      <c r="K255" s="134"/>
      <c r="L255" s="134"/>
      <c r="M255" s="134"/>
      <c r="N255" s="55"/>
    </row>
    <row r="256" spans="1:14">
      <c r="A256" s="134"/>
      <c r="B256" s="134"/>
      <c r="C256" s="134"/>
      <c r="D256" s="141"/>
      <c r="E256" s="141"/>
      <c r="F256" s="141"/>
      <c r="G256" s="141"/>
      <c r="H256" s="134"/>
      <c r="I256" s="134"/>
      <c r="J256" s="134"/>
      <c r="K256" s="134"/>
      <c r="L256" s="134"/>
      <c r="M256" s="134"/>
      <c r="N256" s="55"/>
    </row>
    <row r="257" spans="1:14">
      <c r="A257" s="134"/>
      <c r="B257" s="134"/>
      <c r="C257" s="134"/>
      <c r="D257" s="141"/>
      <c r="E257" s="141"/>
      <c r="F257" s="141"/>
      <c r="G257" s="141"/>
      <c r="H257" s="134"/>
      <c r="I257" s="134"/>
      <c r="J257" s="134"/>
      <c r="K257" s="134"/>
      <c r="L257" s="134"/>
      <c r="M257" s="134"/>
      <c r="N257" s="55"/>
    </row>
    <row r="258" spans="1:14">
      <c r="A258" s="134"/>
      <c r="B258" s="134"/>
      <c r="C258" s="134"/>
      <c r="D258" s="141"/>
      <c r="E258" s="141"/>
      <c r="F258" s="141"/>
      <c r="G258" s="141"/>
      <c r="H258" s="134"/>
      <c r="I258" s="134"/>
      <c r="J258" s="134"/>
      <c r="K258" s="134"/>
      <c r="L258" s="134"/>
      <c r="M258" s="134"/>
      <c r="N258" s="55"/>
    </row>
    <row r="259" spans="1:14">
      <c r="A259" s="134"/>
      <c r="B259" s="134"/>
      <c r="C259" s="134"/>
      <c r="D259" s="141"/>
      <c r="E259" s="141"/>
      <c r="F259" s="141"/>
      <c r="G259" s="141"/>
      <c r="H259" s="134"/>
      <c r="I259" s="134"/>
      <c r="J259" s="134"/>
      <c r="K259" s="134"/>
      <c r="L259" s="134"/>
      <c r="M259" s="134"/>
      <c r="N259" s="55"/>
    </row>
    <row r="260" spans="1:14">
      <c r="A260" s="134"/>
      <c r="B260" s="134"/>
      <c r="C260" s="134"/>
      <c r="D260" s="141"/>
      <c r="E260" s="141"/>
      <c r="F260" s="141"/>
      <c r="G260" s="141"/>
      <c r="H260" s="134"/>
      <c r="I260" s="134"/>
      <c r="J260" s="134"/>
      <c r="K260" s="134"/>
      <c r="L260" s="134"/>
      <c r="M260" s="134"/>
      <c r="N260" s="55"/>
    </row>
    <row r="261" spans="1:14">
      <c r="A261" s="134"/>
      <c r="B261" s="134"/>
      <c r="C261" s="134"/>
      <c r="D261" s="141"/>
      <c r="E261" s="141"/>
      <c r="F261" s="141"/>
      <c r="G261" s="141"/>
      <c r="H261" s="134"/>
      <c r="I261" s="134"/>
      <c r="J261" s="134"/>
      <c r="K261" s="134"/>
      <c r="L261" s="134"/>
      <c r="M261" s="134"/>
      <c r="N261" s="55"/>
    </row>
    <row r="262" spans="1:14">
      <c r="A262" s="134"/>
      <c r="B262" s="134"/>
      <c r="C262" s="134"/>
      <c r="D262" s="141"/>
      <c r="E262" s="141"/>
      <c r="F262" s="141"/>
      <c r="G262" s="141"/>
      <c r="H262" s="134"/>
      <c r="I262" s="134"/>
      <c r="J262" s="134"/>
      <c r="K262" s="134"/>
      <c r="L262" s="134"/>
      <c r="M262" s="134"/>
      <c r="N262" s="55"/>
    </row>
    <row r="263" spans="1:14">
      <c r="A263" s="134"/>
      <c r="B263" s="134"/>
      <c r="C263" s="134"/>
      <c r="D263" s="141"/>
      <c r="E263" s="141"/>
      <c r="F263" s="141"/>
      <c r="G263" s="141"/>
      <c r="H263" s="134"/>
      <c r="I263" s="134"/>
      <c r="J263" s="134"/>
      <c r="K263" s="134"/>
      <c r="L263" s="134"/>
      <c r="M263" s="134"/>
    </row>
    <row r="264" spans="1:14">
      <c r="A264" s="134"/>
      <c r="B264" s="134"/>
      <c r="C264" s="134"/>
      <c r="D264" s="141"/>
      <c r="E264" s="141"/>
      <c r="F264" s="141"/>
      <c r="G264" s="141"/>
      <c r="H264" s="134"/>
      <c r="I264" s="134"/>
      <c r="J264" s="134"/>
      <c r="K264" s="134"/>
      <c r="L264" s="134"/>
      <c r="M264" s="134"/>
    </row>
    <row r="265" spans="1:14">
      <c r="A265" s="134"/>
      <c r="B265" s="134"/>
      <c r="C265" s="134"/>
      <c r="D265" s="141"/>
      <c r="E265" s="141"/>
      <c r="F265" s="141"/>
      <c r="G265" s="141"/>
      <c r="H265" s="134"/>
      <c r="I265" s="134"/>
      <c r="J265" s="134"/>
      <c r="K265" s="134"/>
      <c r="L265" s="134"/>
      <c r="M265" s="134"/>
    </row>
    <row r="266" spans="1:14">
      <c r="A266" s="134"/>
      <c r="B266" s="134"/>
      <c r="C266" s="134"/>
      <c r="D266" s="141"/>
      <c r="E266" s="141"/>
      <c r="F266" s="141"/>
      <c r="G266" s="141"/>
      <c r="H266" s="134"/>
      <c r="I266" s="134"/>
      <c r="J266" s="134"/>
      <c r="K266" s="134"/>
      <c r="L266" s="134"/>
      <c r="M266" s="134"/>
    </row>
    <row r="267" spans="1:14">
      <c r="A267" s="134"/>
      <c r="B267" s="134"/>
      <c r="C267" s="134"/>
      <c r="D267" s="141"/>
      <c r="E267" s="141"/>
      <c r="F267" s="141"/>
      <c r="G267" s="141"/>
      <c r="H267" s="134"/>
      <c r="I267" s="134"/>
      <c r="J267" s="134"/>
      <c r="K267" s="134"/>
      <c r="L267" s="134"/>
      <c r="M267" s="134"/>
    </row>
    <row r="268" spans="1:14">
      <c r="A268" s="134"/>
      <c r="B268" s="134"/>
      <c r="C268" s="134"/>
      <c r="D268" s="141"/>
      <c r="E268" s="141"/>
      <c r="F268" s="141"/>
      <c r="G268" s="141"/>
      <c r="H268" s="134"/>
      <c r="I268" s="134"/>
      <c r="J268" s="134"/>
      <c r="K268" s="134"/>
      <c r="L268" s="134"/>
      <c r="M268" s="134"/>
    </row>
    <row r="269" spans="1:14">
      <c r="A269" s="134"/>
      <c r="B269" s="134"/>
      <c r="C269" s="134"/>
      <c r="D269" s="141"/>
      <c r="E269" s="141"/>
      <c r="F269" s="141"/>
      <c r="G269" s="141"/>
      <c r="H269" s="134"/>
      <c r="I269" s="134"/>
      <c r="J269" s="134"/>
      <c r="K269" s="134"/>
      <c r="L269" s="134"/>
      <c r="M269" s="134"/>
    </row>
    <row r="270" spans="1:14">
      <c r="A270" s="134"/>
      <c r="B270" s="134"/>
      <c r="C270" s="134"/>
      <c r="D270" s="141"/>
      <c r="E270" s="141"/>
      <c r="F270" s="141"/>
      <c r="G270" s="141"/>
      <c r="H270" s="134"/>
      <c r="I270" s="134"/>
      <c r="J270" s="134"/>
      <c r="K270" s="134"/>
      <c r="L270" s="134"/>
      <c r="M270" s="134"/>
    </row>
    <row r="271" spans="1:14">
      <c r="A271" s="134"/>
      <c r="B271" s="134"/>
      <c r="C271" s="134"/>
      <c r="D271" s="141"/>
      <c r="E271" s="141"/>
      <c r="F271" s="141"/>
      <c r="G271" s="141"/>
      <c r="H271" s="134"/>
      <c r="I271" s="134"/>
      <c r="J271" s="134"/>
      <c r="K271" s="134"/>
      <c r="L271" s="134"/>
      <c r="M271" s="134"/>
    </row>
    <row r="272" spans="1:14">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82" spans="1:13">
      <c r="A282" s="134"/>
      <c r="B282" s="134"/>
      <c r="C282" s="134"/>
      <c r="D282" s="141"/>
      <c r="E282" s="141"/>
      <c r="F282" s="141"/>
      <c r="G282" s="141"/>
      <c r="H282" s="134"/>
      <c r="I282" s="134"/>
      <c r="J282" s="134"/>
      <c r="K282" s="134"/>
      <c r="L282" s="134"/>
      <c r="M282" s="134"/>
    </row>
    <row r="283" spans="1:13">
      <c r="A283" s="134"/>
      <c r="B283" s="134"/>
      <c r="C283" s="134"/>
      <c r="D283" s="141"/>
      <c r="E283" s="141"/>
      <c r="F283" s="141"/>
      <c r="G283" s="141"/>
      <c r="H283" s="134"/>
      <c r="I283" s="134"/>
      <c r="J283" s="134"/>
      <c r="K283" s="134"/>
      <c r="L283" s="134"/>
      <c r="M283" s="134"/>
    </row>
    <row r="290" spans="1:1">
      <c r="A290" t="s">
        <v>620</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88"/>
  <sheetViews>
    <sheetView workbookViewId="0">
      <selection activeCell="T30" sqref="T30"/>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563</v>
      </c>
      <c r="P2" s="66"/>
      <c r="Q2" s="66"/>
      <c r="R2" s="66"/>
      <c r="S2" s="66"/>
      <c r="T2" s="9"/>
      <c r="U2" s="9"/>
    </row>
    <row r="3" spans="15:21">
      <c r="O3" s="25" t="s">
        <v>564</v>
      </c>
      <c r="P3" s="25"/>
      <c r="Q3" s="25"/>
      <c r="R3" s="25"/>
      <c r="S3" s="25"/>
      <c r="T3" s="25"/>
    </row>
    <row r="4" spans="15:21">
      <c r="O4" s="6"/>
      <c r="P4" s="6"/>
      <c r="Q4" s="16"/>
      <c r="R4" s="16"/>
      <c r="S4" s="16"/>
      <c r="T4" s="16"/>
    </row>
    <row r="5" spans="15:21" ht="16" thickBot="1">
      <c r="O5" s="19" t="s">
        <v>426</v>
      </c>
      <c r="P5" s="19">
        <v>2022</v>
      </c>
      <c r="Q5" s="19">
        <v>2023</v>
      </c>
      <c r="R5" s="19">
        <v>2024</v>
      </c>
      <c r="S5" s="25"/>
      <c r="T5" s="25"/>
    </row>
    <row r="6" spans="15:21">
      <c r="O6" s="16" t="s">
        <v>2</v>
      </c>
      <c r="P6" s="30">
        <v>5159</v>
      </c>
      <c r="Q6" s="30">
        <v>4203</v>
      </c>
      <c r="R6" s="30">
        <v>4936</v>
      </c>
      <c r="S6" s="25"/>
      <c r="T6" s="25"/>
    </row>
    <row r="7" spans="15:21">
      <c r="O7" s="16" t="s">
        <v>3</v>
      </c>
      <c r="P7" s="31">
        <v>5413</v>
      </c>
      <c r="Q7" s="31">
        <v>6124</v>
      </c>
      <c r="R7" s="31"/>
      <c r="S7" s="25"/>
      <c r="T7" s="25"/>
    </row>
    <row r="8" spans="15:21">
      <c r="O8" s="16" t="s">
        <v>4</v>
      </c>
      <c r="P8" s="34">
        <v>9142</v>
      </c>
      <c r="Q8" s="34">
        <v>12577</v>
      </c>
      <c r="R8" s="34"/>
      <c r="S8" s="25"/>
      <c r="T8" s="25"/>
    </row>
    <row r="9" spans="15:21">
      <c r="O9" s="16" t="s">
        <v>5</v>
      </c>
      <c r="P9" s="31">
        <v>5421</v>
      </c>
      <c r="Q9" s="31">
        <v>6928</v>
      </c>
      <c r="R9" s="31"/>
      <c r="S9" s="25"/>
      <c r="T9" s="25"/>
    </row>
    <row r="10" spans="15:21">
      <c r="O10" s="16" t="s">
        <v>6</v>
      </c>
      <c r="P10" s="34">
        <v>6383</v>
      </c>
      <c r="Q10" s="34">
        <v>11657</v>
      </c>
      <c r="R10" s="34"/>
      <c r="S10" s="25"/>
      <c r="T10" s="25"/>
    </row>
    <row r="11" spans="15:21">
      <c r="O11" s="16" t="s">
        <v>7</v>
      </c>
      <c r="P11" s="31">
        <v>8237</v>
      </c>
      <c r="Q11" s="31">
        <v>10956</v>
      </c>
      <c r="R11" s="31"/>
      <c r="S11" s="25"/>
      <c r="T11" s="25"/>
    </row>
    <row r="12" spans="15:21">
      <c r="O12" s="16" t="s">
        <v>8</v>
      </c>
      <c r="P12" s="34">
        <v>4677</v>
      </c>
      <c r="Q12" s="34">
        <v>6487</v>
      </c>
      <c r="R12" s="34"/>
      <c r="S12" s="25"/>
      <c r="T12" s="25"/>
    </row>
    <row r="13" spans="15:21">
      <c r="O13" s="16" t="s">
        <v>9</v>
      </c>
      <c r="P13" s="34">
        <v>5813</v>
      </c>
      <c r="Q13" s="34">
        <v>9784</v>
      </c>
      <c r="R13" s="34"/>
      <c r="S13" s="25"/>
      <c r="T13" s="25"/>
    </row>
    <row r="14" spans="15:21">
      <c r="O14" s="16" t="s">
        <v>10</v>
      </c>
      <c r="P14" s="34">
        <v>7777</v>
      </c>
      <c r="Q14" s="34">
        <v>12500</v>
      </c>
      <c r="R14" s="34"/>
      <c r="S14" s="25"/>
      <c r="T14" s="25"/>
    </row>
    <row r="15" spans="15:21">
      <c r="O15" s="16" t="s">
        <v>11</v>
      </c>
      <c r="P15" s="34">
        <v>7940</v>
      </c>
      <c r="Q15" s="34">
        <v>9408</v>
      </c>
      <c r="R15" s="34"/>
      <c r="S15" s="25"/>
      <c r="T15" s="25"/>
    </row>
    <row r="16" spans="15:21">
      <c r="O16" s="16" t="s">
        <v>12</v>
      </c>
      <c r="P16" s="34">
        <v>10868</v>
      </c>
      <c r="Q16" s="34">
        <v>10076</v>
      </c>
      <c r="R16" s="34"/>
      <c r="S16" s="25"/>
      <c r="T16" s="25"/>
    </row>
    <row r="17" spans="15:20">
      <c r="O17" s="26" t="s">
        <v>13</v>
      </c>
      <c r="P17" s="132">
        <v>18205</v>
      </c>
      <c r="Q17" s="132">
        <v>11510</v>
      </c>
      <c r="R17" s="132"/>
      <c r="S17" s="25"/>
      <c r="T17" s="25"/>
    </row>
    <row r="18" spans="15:20">
      <c r="O18" s="6" t="s">
        <v>499</v>
      </c>
      <c r="P18" s="32">
        <f>SUMIF(R6:R17,"&gt;0",P6:P17)</f>
        <v>5159</v>
      </c>
      <c r="Q18" s="32">
        <f>SUMIF(R6:R17,"&gt;0",Q6:Q17)</f>
        <v>4203</v>
      </c>
      <c r="R18" s="32">
        <f>SUM(R6:R17)</f>
        <v>4936</v>
      </c>
      <c r="S18" s="25"/>
      <c r="T18" s="25"/>
    </row>
    <row r="19" spans="15:20">
      <c r="O19" s="6" t="s">
        <v>498</v>
      </c>
      <c r="P19" s="29">
        <v>95035</v>
      </c>
      <c r="Q19" s="29">
        <f>SUM(Q6:Q17)</f>
        <v>112210</v>
      </c>
      <c r="R19" s="25"/>
      <c r="S19" s="25"/>
      <c r="T19" s="25"/>
    </row>
    <row r="34" spans="1:14" ht="21" thickBot="1">
      <c r="A34" s="66" t="s">
        <v>603</v>
      </c>
      <c r="B34" s="66"/>
      <c r="C34" s="9"/>
      <c r="E34" s="274" t="s">
        <v>1187</v>
      </c>
    </row>
    <row r="35" spans="1:14" ht="20">
      <c r="A35" s="9"/>
    </row>
    <row r="36" spans="1:14">
      <c r="A36" s="7" t="s">
        <v>422</v>
      </c>
      <c r="B36" s="55"/>
      <c r="C36" s="55"/>
      <c r="D36" s="55"/>
      <c r="E36" s="55"/>
      <c r="F36" s="55"/>
      <c r="G36" s="55"/>
      <c r="H36" s="257" t="s">
        <v>423</v>
      </c>
      <c r="I36" s="257"/>
      <c r="J36" s="257"/>
      <c r="K36" s="257"/>
      <c r="L36" s="257"/>
      <c r="M36" s="257"/>
      <c r="N36" s="55"/>
    </row>
    <row r="37" spans="1:14">
      <c r="A37" s="102"/>
      <c r="B37" s="113"/>
      <c r="C37" s="113"/>
      <c r="D37" s="258" t="s">
        <v>500</v>
      </c>
      <c r="E37" s="259"/>
      <c r="F37" s="260" t="s">
        <v>500</v>
      </c>
      <c r="G37" s="261"/>
      <c r="H37" s="260" t="s">
        <v>501</v>
      </c>
      <c r="I37" s="261"/>
      <c r="J37" s="260" t="s">
        <v>502</v>
      </c>
      <c r="K37" s="261"/>
      <c r="L37" s="260" t="s">
        <v>502</v>
      </c>
      <c r="M37" s="261"/>
      <c r="N37" s="55"/>
    </row>
    <row r="38" spans="1:14">
      <c r="A38" s="102"/>
      <c r="B38" s="114" t="s">
        <v>424</v>
      </c>
      <c r="C38" s="115" t="s">
        <v>504</v>
      </c>
      <c r="D38" s="116" t="str">
        <f>Innehåll!D79</f>
        <v xml:space="preserve"> 2024-01</v>
      </c>
      <c r="E38" s="116" t="str">
        <f>Innehåll!D80</f>
        <v xml:space="preserve"> 2023-01</v>
      </c>
      <c r="F38" s="116" t="str">
        <f>Innehåll!D81</f>
        <v>YTD  2024</v>
      </c>
      <c r="G38" s="116" t="str">
        <f>Innehåll!D82</f>
        <v>YTD  2023</v>
      </c>
      <c r="H38" s="116" t="str">
        <f>D38</f>
        <v xml:space="preserve"> 2024-01</v>
      </c>
      <c r="I38" s="117" t="str">
        <f>F38</f>
        <v>YTD  2024</v>
      </c>
      <c r="J38" s="116" t="str">
        <f>D38</f>
        <v xml:space="preserve"> 2024-01</v>
      </c>
      <c r="K38" s="118" t="str">
        <f>F38</f>
        <v>YTD  2024</v>
      </c>
      <c r="L38" s="119" t="str">
        <f>E38</f>
        <v xml:space="preserve"> 2023-01</v>
      </c>
      <c r="M38" s="119" t="str">
        <f>G38</f>
        <v>YTD  2023</v>
      </c>
      <c r="N38" s="55"/>
    </row>
    <row r="39" spans="1:14" ht="15.25" hidden="1" customHeight="1">
      <c r="A39" s="55" t="s">
        <v>24</v>
      </c>
      <c r="B39" s="55" t="s">
        <v>211</v>
      </c>
      <c r="C39" s="55" t="s">
        <v>212</v>
      </c>
      <c r="D39" s="55" t="s">
        <v>26</v>
      </c>
      <c r="E39" s="55" t="s">
        <v>27</v>
      </c>
      <c r="F39" s="55" t="s">
        <v>28</v>
      </c>
      <c r="G39" s="55" t="s">
        <v>29</v>
      </c>
      <c r="H39" s="55" t="s">
        <v>30</v>
      </c>
      <c r="I39" s="55" t="s">
        <v>31</v>
      </c>
      <c r="J39" s="55" t="s">
        <v>32</v>
      </c>
      <c r="K39" s="55" t="s">
        <v>33</v>
      </c>
      <c r="L39" s="55" t="s">
        <v>34</v>
      </c>
      <c r="M39" s="55" t="s">
        <v>35</v>
      </c>
      <c r="N39" s="55"/>
    </row>
    <row r="40" spans="1:14" hidden="1">
      <c r="A40" s="55">
        <v>1</v>
      </c>
      <c r="B40" s="55" t="s">
        <v>369</v>
      </c>
      <c r="C40" s="55" t="s">
        <v>19</v>
      </c>
      <c r="D40" s="22">
        <v>744</v>
      </c>
      <c r="E40" s="22">
        <v>610</v>
      </c>
      <c r="F40" s="22">
        <v>744</v>
      </c>
      <c r="G40" s="22">
        <v>610</v>
      </c>
      <c r="H40" s="55">
        <v>21.97</v>
      </c>
      <c r="I40" s="55">
        <v>21.97</v>
      </c>
      <c r="J40" s="55">
        <v>8.26</v>
      </c>
      <c r="K40" s="55">
        <v>8.26</v>
      </c>
      <c r="L40" s="55">
        <v>8</v>
      </c>
      <c r="M40" s="55">
        <v>8</v>
      </c>
      <c r="N40" s="55"/>
    </row>
    <row r="41" spans="1:14">
      <c r="A41" s="55">
        <v>2</v>
      </c>
      <c r="B41" s="55" t="s">
        <v>553</v>
      </c>
      <c r="C41" s="55" t="s">
        <v>20</v>
      </c>
      <c r="D41" s="22">
        <v>577</v>
      </c>
      <c r="E41" s="22">
        <v>102</v>
      </c>
      <c r="F41" s="22">
        <v>577</v>
      </c>
      <c r="G41" s="22">
        <v>102</v>
      </c>
      <c r="H41" s="55">
        <v>465.69</v>
      </c>
      <c r="I41" s="55">
        <v>465.69</v>
      </c>
      <c r="J41" s="55">
        <v>6.41</v>
      </c>
      <c r="K41" s="55">
        <v>6.41</v>
      </c>
      <c r="L41" s="55">
        <v>1.34</v>
      </c>
      <c r="M41" s="55">
        <v>1.34</v>
      </c>
      <c r="N41" s="55"/>
    </row>
    <row r="42" spans="1:14">
      <c r="A42" s="55">
        <v>3</v>
      </c>
      <c r="B42" s="55" t="s">
        <v>397</v>
      </c>
      <c r="C42" s="55" t="s">
        <v>20</v>
      </c>
      <c r="D42" s="22">
        <v>567</v>
      </c>
      <c r="E42" s="22">
        <v>698</v>
      </c>
      <c r="F42" s="22">
        <v>567</v>
      </c>
      <c r="G42" s="22">
        <v>698</v>
      </c>
      <c r="H42" s="55">
        <v>-18.77</v>
      </c>
      <c r="I42" s="55">
        <v>-18.77</v>
      </c>
      <c r="J42" s="55">
        <v>6.29</v>
      </c>
      <c r="K42" s="55">
        <v>6.29</v>
      </c>
      <c r="L42" s="55">
        <v>9.15</v>
      </c>
      <c r="M42" s="55">
        <v>9.15</v>
      </c>
      <c r="N42" s="55"/>
    </row>
    <row r="43" spans="1:14">
      <c r="A43" s="55">
        <v>4</v>
      </c>
      <c r="B43" s="55" t="s">
        <v>583</v>
      </c>
      <c r="C43" s="55" t="s">
        <v>20</v>
      </c>
      <c r="D43" s="22">
        <v>344</v>
      </c>
      <c r="E43" s="22">
        <v>372</v>
      </c>
      <c r="F43" s="22">
        <v>344</v>
      </c>
      <c r="G43" s="22">
        <v>372</v>
      </c>
      <c r="H43" s="55">
        <v>-7.53</v>
      </c>
      <c r="I43" s="55">
        <v>-7.53</v>
      </c>
      <c r="J43" s="55">
        <v>3.82</v>
      </c>
      <c r="K43" s="55">
        <v>3.82</v>
      </c>
      <c r="L43" s="55">
        <v>4.88</v>
      </c>
      <c r="M43" s="55">
        <v>4.88</v>
      </c>
      <c r="N43" s="55"/>
    </row>
    <row r="44" spans="1:14" hidden="1">
      <c r="A44" s="55">
        <v>5</v>
      </c>
      <c r="B44" s="55" t="s">
        <v>384</v>
      </c>
      <c r="C44" s="55" t="s">
        <v>19</v>
      </c>
      <c r="D44" s="22">
        <v>305</v>
      </c>
      <c r="E44" s="22">
        <v>400</v>
      </c>
      <c r="F44" s="22">
        <v>305</v>
      </c>
      <c r="G44" s="22">
        <v>400</v>
      </c>
      <c r="H44" s="55">
        <v>-23.75</v>
      </c>
      <c r="I44" s="55">
        <v>-23.75</v>
      </c>
      <c r="J44" s="55">
        <v>3.39</v>
      </c>
      <c r="K44" s="55">
        <v>3.39</v>
      </c>
      <c r="L44" s="55">
        <v>5.24</v>
      </c>
      <c r="M44" s="55">
        <v>5.24</v>
      </c>
      <c r="N44" s="55"/>
    </row>
    <row r="45" spans="1:14">
      <c r="A45" s="55">
        <v>6</v>
      </c>
      <c r="B45" s="55" t="s">
        <v>448</v>
      </c>
      <c r="C45" s="55" t="s">
        <v>20</v>
      </c>
      <c r="D45" s="22">
        <v>288</v>
      </c>
      <c r="E45" s="22">
        <v>276</v>
      </c>
      <c r="F45" s="22">
        <v>288</v>
      </c>
      <c r="G45" s="22">
        <v>276</v>
      </c>
      <c r="H45" s="55">
        <v>4.3499999999999996</v>
      </c>
      <c r="I45" s="55">
        <v>4.3499999999999996</v>
      </c>
      <c r="J45" s="55">
        <v>3.2</v>
      </c>
      <c r="K45" s="55">
        <v>3.2</v>
      </c>
      <c r="L45" s="55">
        <v>3.62</v>
      </c>
      <c r="M45" s="55">
        <v>3.62</v>
      </c>
      <c r="N45" s="55"/>
    </row>
    <row r="46" spans="1:14">
      <c r="A46" s="55">
        <v>7</v>
      </c>
      <c r="B46" s="55" t="s">
        <v>548</v>
      </c>
      <c r="C46" s="55" t="s">
        <v>20</v>
      </c>
      <c r="D46" s="22">
        <v>286</v>
      </c>
      <c r="E46" s="22">
        <v>102</v>
      </c>
      <c r="F46" s="22">
        <v>286</v>
      </c>
      <c r="G46" s="22">
        <v>102</v>
      </c>
      <c r="H46" s="55">
        <v>180.39</v>
      </c>
      <c r="I46" s="55">
        <v>180.39</v>
      </c>
      <c r="J46" s="55">
        <v>3.17</v>
      </c>
      <c r="K46" s="55">
        <v>3.17</v>
      </c>
      <c r="L46" s="55">
        <v>1.34</v>
      </c>
      <c r="M46" s="55">
        <v>1.34</v>
      </c>
      <c r="N46" s="55"/>
    </row>
    <row r="47" spans="1:14">
      <c r="A47" s="55">
        <v>8</v>
      </c>
      <c r="B47" s="55" t="s">
        <v>1122</v>
      </c>
      <c r="C47" s="55" t="s">
        <v>20</v>
      </c>
      <c r="D47" s="22">
        <v>274</v>
      </c>
      <c r="E47" s="22">
        <v>0</v>
      </c>
      <c r="F47" s="22">
        <v>274</v>
      </c>
      <c r="G47" s="22">
        <v>0</v>
      </c>
      <c r="H47" s="55">
        <v>0</v>
      </c>
      <c r="I47" s="55">
        <v>0</v>
      </c>
      <c r="J47" s="55">
        <v>3.04</v>
      </c>
      <c r="K47" s="55">
        <v>3.04</v>
      </c>
      <c r="L47" s="55">
        <v>0</v>
      </c>
      <c r="M47" s="55">
        <v>0</v>
      </c>
      <c r="N47" s="55"/>
    </row>
    <row r="48" spans="1:14" hidden="1">
      <c r="A48" s="55">
        <v>9</v>
      </c>
      <c r="B48" s="55" t="s">
        <v>351</v>
      </c>
      <c r="C48" s="55" t="s">
        <v>19</v>
      </c>
      <c r="D48" s="22">
        <v>268</v>
      </c>
      <c r="E48" s="22">
        <v>171</v>
      </c>
      <c r="F48" s="22">
        <v>268</v>
      </c>
      <c r="G48" s="22">
        <v>171</v>
      </c>
      <c r="H48" s="55">
        <v>56.73</v>
      </c>
      <c r="I48" s="55">
        <v>56.73</v>
      </c>
      <c r="J48" s="55">
        <v>2.98</v>
      </c>
      <c r="K48" s="55">
        <v>2.98</v>
      </c>
      <c r="L48" s="55">
        <v>2.2400000000000002</v>
      </c>
      <c r="M48" s="55">
        <v>2.2400000000000002</v>
      </c>
      <c r="N48" s="55"/>
    </row>
    <row r="49" spans="1:14" hidden="1">
      <c r="A49" s="55">
        <v>10</v>
      </c>
      <c r="B49" s="55" t="s">
        <v>629</v>
      </c>
      <c r="C49" s="55" t="s">
        <v>19</v>
      </c>
      <c r="D49" s="22">
        <v>233</v>
      </c>
      <c r="E49" s="22">
        <v>247</v>
      </c>
      <c r="F49" s="22">
        <v>233</v>
      </c>
      <c r="G49" s="22">
        <v>247</v>
      </c>
      <c r="H49" s="55">
        <v>-5.67</v>
      </c>
      <c r="I49" s="55">
        <v>-5.67</v>
      </c>
      <c r="J49" s="55">
        <v>2.59</v>
      </c>
      <c r="K49" s="55">
        <v>2.59</v>
      </c>
      <c r="L49" s="55">
        <v>3.24</v>
      </c>
      <c r="M49" s="55">
        <v>3.24</v>
      </c>
      <c r="N49" s="55"/>
    </row>
    <row r="50" spans="1:14">
      <c r="A50" s="55">
        <v>11</v>
      </c>
      <c r="B50" s="55" t="s">
        <v>379</v>
      </c>
      <c r="C50" s="55" t="s">
        <v>20</v>
      </c>
      <c r="D50" s="22">
        <v>232</v>
      </c>
      <c r="E50" s="22">
        <v>97</v>
      </c>
      <c r="F50" s="22">
        <v>232</v>
      </c>
      <c r="G50" s="22">
        <v>97</v>
      </c>
      <c r="H50" s="55">
        <v>139.18</v>
      </c>
      <c r="I50" s="55">
        <v>139.18</v>
      </c>
      <c r="J50" s="55">
        <v>2.58</v>
      </c>
      <c r="K50" s="55">
        <v>2.58</v>
      </c>
      <c r="L50" s="55">
        <v>1.27</v>
      </c>
      <c r="M50" s="55">
        <v>1.27</v>
      </c>
      <c r="N50" s="55"/>
    </row>
    <row r="51" spans="1:14" hidden="1">
      <c r="A51" s="55">
        <v>12</v>
      </c>
      <c r="B51" s="55" t="s">
        <v>1082</v>
      </c>
      <c r="C51" s="55" t="s">
        <v>19</v>
      </c>
      <c r="D51" s="22">
        <v>182</v>
      </c>
      <c r="E51" s="22">
        <v>0</v>
      </c>
      <c r="F51" s="22">
        <v>182</v>
      </c>
      <c r="G51" s="22">
        <v>0</v>
      </c>
      <c r="H51" s="55">
        <v>0</v>
      </c>
      <c r="I51" s="55">
        <v>0</v>
      </c>
      <c r="J51" s="55">
        <v>2.02</v>
      </c>
      <c r="K51" s="55">
        <v>2.02</v>
      </c>
      <c r="L51" s="55">
        <v>0</v>
      </c>
      <c r="M51" s="55">
        <v>0</v>
      </c>
      <c r="N51" s="55"/>
    </row>
    <row r="52" spans="1:14" hidden="1">
      <c r="A52" s="55">
        <v>13</v>
      </c>
      <c r="B52" s="55" t="s">
        <v>217</v>
      </c>
      <c r="C52" s="55" t="s">
        <v>19</v>
      </c>
      <c r="D52" s="22">
        <v>164</v>
      </c>
      <c r="E52" s="22">
        <v>102</v>
      </c>
      <c r="F52" s="22">
        <v>164</v>
      </c>
      <c r="G52" s="22">
        <v>102</v>
      </c>
      <c r="H52" s="55">
        <v>60.78</v>
      </c>
      <c r="I52" s="55">
        <v>60.78</v>
      </c>
      <c r="J52" s="55">
        <v>1.82</v>
      </c>
      <c r="K52" s="55">
        <v>1.82</v>
      </c>
      <c r="L52" s="55">
        <v>1.34</v>
      </c>
      <c r="M52" s="55">
        <v>1.34</v>
      </c>
      <c r="N52" s="55"/>
    </row>
    <row r="53" spans="1:14">
      <c r="A53" s="55">
        <v>14</v>
      </c>
      <c r="B53" s="55" t="s">
        <v>94</v>
      </c>
      <c r="C53" s="55" t="s">
        <v>20</v>
      </c>
      <c r="D53" s="22">
        <v>164</v>
      </c>
      <c r="E53" s="22">
        <v>72</v>
      </c>
      <c r="F53" s="22">
        <v>164</v>
      </c>
      <c r="G53" s="22">
        <v>72</v>
      </c>
      <c r="H53" s="55">
        <v>127.78</v>
      </c>
      <c r="I53" s="55">
        <v>127.78</v>
      </c>
      <c r="J53" s="55">
        <v>1.82</v>
      </c>
      <c r="K53" s="55">
        <v>1.82</v>
      </c>
      <c r="L53" s="55">
        <v>0.94</v>
      </c>
      <c r="M53" s="55">
        <v>0.94</v>
      </c>
      <c r="N53" s="55"/>
    </row>
    <row r="54" spans="1:14" hidden="1">
      <c r="A54" s="55">
        <v>15</v>
      </c>
      <c r="B54" s="55" t="s">
        <v>355</v>
      </c>
      <c r="C54" s="55" t="s">
        <v>19</v>
      </c>
      <c r="D54" s="22">
        <v>164</v>
      </c>
      <c r="E54" s="22">
        <v>39</v>
      </c>
      <c r="F54" s="22">
        <v>164</v>
      </c>
      <c r="G54" s="22">
        <v>39</v>
      </c>
      <c r="H54" s="55">
        <v>320.51</v>
      </c>
      <c r="I54" s="55">
        <v>320.51</v>
      </c>
      <c r="J54" s="55">
        <v>1.82</v>
      </c>
      <c r="K54" s="55">
        <v>1.82</v>
      </c>
      <c r="L54" s="55">
        <v>0.51</v>
      </c>
      <c r="M54" s="55">
        <v>0.51</v>
      </c>
      <c r="N54" s="55"/>
    </row>
    <row r="55" spans="1:14">
      <c r="A55" s="55">
        <v>16</v>
      </c>
      <c r="B55" s="55" t="s">
        <v>1087</v>
      </c>
      <c r="C55" s="55" t="s">
        <v>20</v>
      </c>
      <c r="D55" s="22">
        <v>160</v>
      </c>
      <c r="E55" s="22">
        <v>0</v>
      </c>
      <c r="F55" s="22">
        <v>160</v>
      </c>
      <c r="G55" s="22">
        <v>0</v>
      </c>
      <c r="H55" s="55">
        <v>0</v>
      </c>
      <c r="I55" s="55">
        <v>0</v>
      </c>
      <c r="J55" s="55">
        <v>1.78</v>
      </c>
      <c r="K55" s="55">
        <v>1.78</v>
      </c>
      <c r="L55" s="55">
        <v>0</v>
      </c>
      <c r="M55" s="55">
        <v>0</v>
      </c>
      <c r="N55" s="55"/>
    </row>
    <row r="56" spans="1:14" hidden="1">
      <c r="A56" s="55">
        <v>17</v>
      </c>
      <c r="B56" s="55" t="s">
        <v>398</v>
      </c>
      <c r="C56" s="55" t="s">
        <v>19</v>
      </c>
      <c r="D56" s="22">
        <v>143</v>
      </c>
      <c r="E56" s="22">
        <v>15</v>
      </c>
      <c r="F56" s="22">
        <v>143</v>
      </c>
      <c r="G56" s="22">
        <v>15</v>
      </c>
      <c r="H56" s="55">
        <v>853.33</v>
      </c>
      <c r="I56" s="55">
        <v>853.33</v>
      </c>
      <c r="J56" s="55">
        <v>1.59</v>
      </c>
      <c r="K56" s="55">
        <v>1.59</v>
      </c>
      <c r="L56" s="55">
        <v>0.2</v>
      </c>
      <c r="M56" s="55">
        <v>0.2</v>
      </c>
      <c r="N56" s="55"/>
    </row>
    <row r="57" spans="1:14">
      <c r="A57" s="55">
        <v>18</v>
      </c>
      <c r="B57" s="55" t="s">
        <v>55</v>
      </c>
      <c r="C57" s="55" t="s">
        <v>20</v>
      </c>
      <c r="D57" s="22">
        <v>142</v>
      </c>
      <c r="E57" s="22">
        <v>96</v>
      </c>
      <c r="F57" s="22">
        <v>142</v>
      </c>
      <c r="G57" s="22">
        <v>96</v>
      </c>
      <c r="H57" s="55">
        <v>47.92</v>
      </c>
      <c r="I57" s="55">
        <v>47.92</v>
      </c>
      <c r="J57" s="55">
        <v>1.58</v>
      </c>
      <c r="K57" s="55">
        <v>1.58</v>
      </c>
      <c r="L57" s="55">
        <v>1.26</v>
      </c>
      <c r="M57" s="55">
        <v>1.26</v>
      </c>
      <c r="N57" s="55"/>
    </row>
    <row r="58" spans="1:14">
      <c r="A58" s="55">
        <v>19</v>
      </c>
      <c r="B58" s="55" t="s">
        <v>392</v>
      </c>
      <c r="C58" s="55" t="s">
        <v>20</v>
      </c>
      <c r="D58" s="22">
        <v>140</v>
      </c>
      <c r="E58" s="22">
        <v>59</v>
      </c>
      <c r="F58" s="22">
        <v>140</v>
      </c>
      <c r="G58" s="22">
        <v>59</v>
      </c>
      <c r="H58" s="55">
        <v>137.29</v>
      </c>
      <c r="I58" s="55">
        <v>137.29</v>
      </c>
      <c r="J58" s="55">
        <v>1.55</v>
      </c>
      <c r="K58" s="55">
        <v>1.55</v>
      </c>
      <c r="L58" s="55">
        <v>0.77</v>
      </c>
      <c r="M58" s="55">
        <v>0.77</v>
      </c>
      <c r="N58" s="55"/>
    </row>
    <row r="59" spans="1:14">
      <c r="A59" s="55">
        <v>197</v>
      </c>
      <c r="B59" s="55" t="s">
        <v>408</v>
      </c>
      <c r="C59" s="55" t="s">
        <v>20</v>
      </c>
      <c r="D59" s="22">
        <v>128</v>
      </c>
      <c r="E59" s="22">
        <v>3</v>
      </c>
      <c r="F59" s="22">
        <v>128</v>
      </c>
      <c r="G59" s="22">
        <v>3</v>
      </c>
      <c r="H59" s="55">
        <v>4166.67</v>
      </c>
      <c r="I59" s="55">
        <v>4166.67</v>
      </c>
      <c r="J59" s="55">
        <v>1.42</v>
      </c>
      <c r="K59" s="55">
        <v>1.42</v>
      </c>
      <c r="L59" s="55">
        <v>0.04</v>
      </c>
      <c r="M59" s="55">
        <v>0.04</v>
      </c>
      <c r="N59" s="55"/>
    </row>
    <row r="60" spans="1:14" hidden="1">
      <c r="A60" s="55">
        <v>20</v>
      </c>
      <c r="B60" s="55" t="s">
        <v>947</v>
      </c>
      <c r="C60" s="55" t="s">
        <v>19</v>
      </c>
      <c r="D60" s="22">
        <v>119</v>
      </c>
      <c r="E60" s="22">
        <v>9</v>
      </c>
      <c r="F60" s="22">
        <v>119</v>
      </c>
      <c r="G60" s="22">
        <v>9</v>
      </c>
      <c r="H60" s="55">
        <v>1222.22</v>
      </c>
      <c r="I60" s="55">
        <v>1222.22</v>
      </c>
      <c r="J60" s="55">
        <v>1.32</v>
      </c>
      <c r="K60" s="55">
        <v>1.32</v>
      </c>
      <c r="L60" s="55">
        <v>0.12</v>
      </c>
      <c r="M60" s="55">
        <v>0.12</v>
      </c>
      <c r="N60" s="55"/>
    </row>
    <row r="61" spans="1:14" hidden="1">
      <c r="A61" s="55">
        <v>21</v>
      </c>
      <c r="B61" s="55" t="s">
        <v>1060</v>
      </c>
      <c r="C61" s="55" t="s">
        <v>19</v>
      </c>
      <c r="D61" s="22">
        <v>112</v>
      </c>
      <c r="E61" s="22">
        <v>0</v>
      </c>
      <c r="F61" s="22">
        <v>112</v>
      </c>
      <c r="G61" s="22">
        <v>0</v>
      </c>
      <c r="H61" s="55">
        <v>0</v>
      </c>
      <c r="I61" s="55">
        <v>0</v>
      </c>
      <c r="J61" s="55">
        <v>1.24</v>
      </c>
      <c r="K61" s="55">
        <v>1.24</v>
      </c>
      <c r="L61" s="55">
        <v>0</v>
      </c>
      <c r="M61" s="55">
        <v>0</v>
      </c>
      <c r="N61" s="55"/>
    </row>
    <row r="62" spans="1:14">
      <c r="A62" s="55">
        <v>22</v>
      </c>
      <c r="B62" s="55" t="s">
        <v>526</v>
      </c>
      <c r="C62" s="55" t="s">
        <v>20</v>
      </c>
      <c r="D62" s="22">
        <v>109</v>
      </c>
      <c r="E62" s="22">
        <v>153</v>
      </c>
      <c r="F62" s="22">
        <v>109</v>
      </c>
      <c r="G62" s="22">
        <v>153</v>
      </c>
      <c r="H62" s="55">
        <v>-28.76</v>
      </c>
      <c r="I62" s="55">
        <v>-28.76</v>
      </c>
      <c r="J62" s="55">
        <v>1.21</v>
      </c>
      <c r="K62" s="55">
        <v>1.21</v>
      </c>
      <c r="L62" s="55">
        <v>2.0099999999999998</v>
      </c>
      <c r="M62" s="55">
        <v>2.0099999999999998</v>
      </c>
      <c r="N62" s="55"/>
    </row>
    <row r="63" spans="1:14" hidden="1">
      <c r="A63" s="55">
        <v>23</v>
      </c>
      <c r="B63" s="55" t="s">
        <v>1096</v>
      </c>
      <c r="C63" s="55" t="s">
        <v>19</v>
      </c>
      <c r="D63" s="22">
        <v>106</v>
      </c>
      <c r="E63" s="22">
        <v>0</v>
      </c>
      <c r="F63" s="22">
        <v>106</v>
      </c>
      <c r="G63" s="22">
        <v>0</v>
      </c>
      <c r="H63" s="55">
        <v>0</v>
      </c>
      <c r="I63" s="55">
        <v>0</v>
      </c>
      <c r="J63" s="55">
        <v>1.18</v>
      </c>
      <c r="K63" s="55">
        <v>1.18</v>
      </c>
      <c r="L63" s="55">
        <v>0</v>
      </c>
      <c r="M63" s="55">
        <v>0</v>
      </c>
      <c r="N63" s="55"/>
    </row>
    <row r="64" spans="1:14">
      <c r="A64" s="55">
        <v>24</v>
      </c>
      <c r="B64" s="55" t="s">
        <v>601</v>
      </c>
      <c r="C64" s="55" t="s">
        <v>20</v>
      </c>
      <c r="D64" s="22">
        <v>101</v>
      </c>
      <c r="E64" s="22">
        <v>23</v>
      </c>
      <c r="F64" s="22">
        <v>101</v>
      </c>
      <c r="G64" s="22">
        <v>23</v>
      </c>
      <c r="H64" s="55">
        <v>339.13</v>
      </c>
      <c r="I64" s="55">
        <v>339.13</v>
      </c>
      <c r="J64" s="55">
        <v>1.1200000000000001</v>
      </c>
      <c r="K64" s="55">
        <v>1.1200000000000001</v>
      </c>
      <c r="L64" s="55">
        <v>0.3</v>
      </c>
      <c r="M64" s="55">
        <v>0.3</v>
      </c>
      <c r="N64" s="55"/>
    </row>
    <row r="65" spans="1:14">
      <c r="A65" s="55">
        <v>25</v>
      </c>
      <c r="B65" s="55" t="s">
        <v>576</v>
      </c>
      <c r="C65" s="55" t="s">
        <v>20</v>
      </c>
      <c r="D65" s="22">
        <v>95</v>
      </c>
      <c r="E65" s="22">
        <v>425</v>
      </c>
      <c r="F65" s="22">
        <v>95</v>
      </c>
      <c r="G65" s="22">
        <v>425</v>
      </c>
      <c r="H65" s="55">
        <v>-77.650000000000006</v>
      </c>
      <c r="I65" s="55">
        <v>-77.650000000000006</v>
      </c>
      <c r="J65" s="55">
        <v>1.05</v>
      </c>
      <c r="K65" s="55">
        <v>1.05</v>
      </c>
      <c r="L65" s="55">
        <v>5.57</v>
      </c>
      <c r="M65" s="55">
        <v>5.57</v>
      </c>
      <c r="N65" s="55"/>
    </row>
    <row r="66" spans="1:14" hidden="1">
      <c r="A66" s="55">
        <v>26</v>
      </c>
      <c r="B66" s="55" t="s">
        <v>213</v>
      </c>
      <c r="C66" s="55" t="s">
        <v>19</v>
      </c>
      <c r="D66" s="22">
        <v>92</v>
      </c>
      <c r="E66" s="22">
        <v>44</v>
      </c>
      <c r="F66" s="22">
        <v>92</v>
      </c>
      <c r="G66" s="22">
        <v>44</v>
      </c>
      <c r="H66" s="55">
        <v>109.09</v>
      </c>
      <c r="I66" s="55">
        <v>109.09</v>
      </c>
      <c r="J66" s="55">
        <v>1.02</v>
      </c>
      <c r="K66" s="55">
        <v>1.02</v>
      </c>
      <c r="L66" s="55">
        <v>0.57999999999999996</v>
      </c>
      <c r="M66" s="55">
        <v>0.57999999999999996</v>
      </c>
      <c r="N66" s="55"/>
    </row>
    <row r="67" spans="1:14">
      <c r="A67" s="55">
        <v>27</v>
      </c>
      <c r="B67" s="55" t="s">
        <v>131</v>
      </c>
      <c r="C67" s="55" t="s">
        <v>20</v>
      </c>
      <c r="D67" s="22">
        <v>92</v>
      </c>
      <c r="E67" s="22">
        <v>35</v>
      </c>
      <c r="F67" s="22">
        <v>92</v>
      </c>
      <c r="G67" s="22">
        <v>35</v>
      </c>
      <c r="H67" s="55">
        <v>162.86000000000001</v>
      </c>
      <c r="I67" s="55">
        <v>162.86000000000001</v>
      </c>
      <c r="J67" s="55">
        <v>1.02</v>
      </c>
      <c r="K67" s="55">
        <v>1.02</v>
      </c>
      <c r="L67" s="55">
        <v>0.46</v>
      </c>
      <c r="M67" s="55">
        <v>0.46</v>
      </c>
      <c r="N67" s="55"/>
    </row>
    <row r="68" spans="1:14" hidden="1">
      <c r="A68" s="55">
        <v>28</v>
      </c>
      <c r="B68" s="55" t="s">
        <v>455</v>
      </c>
      <c r="C68" s="55" t="s">
        <v>19</v>
      </c>
      <c r="D68" s="22">
        <v>91</v>
      </c>
      <c r="E68" s="22">
        <v>81</v>
      </c>
      <c r="F68" s="22">
        <v>91</v>
      </c>
      <c r="G68" s="22">
        <v>81</v>
      </c>
      <c r="H68" s="55">
        <v>12.35</v>
      </c>
      <c r="I68" s="55">
        <v>12.35</v>
      </c>
      <c r="J68" s="55">
        <v>1.01</v>
      </c>
      <c r="K68" s="55">
        <v>1.01</v>
      </c>
      <c r="L68" s="55">
        <v>1.06</v>
      </c>
      <c r="M68" s="55">
        <v>1.06</v>
      </c>
      <c r="N68" s="55"/>
    </row>
    <row r="69" spans="1:14">
      <c r="A69" s="55">
        <v>29</v>
      </c>
      <c r="B69" s="55" t="s">
        <v>519</v>
      </c>
      <c r="C69" s="55" t="s">
        <v>20</v>
      </c>
      <c r="D69" s="22">
        <v>89</v>
      </c>
      <c r="E69" s="22">
        <v>28</v>
      </c>
      <c r="F69" s="22">
        <v>89</v>
      </c>
      <c r="G69" s="22">
        <v>28</v>
      </c>
      <c r="H69" s="55">
        <v>217.86</v>
      </c>
      <c r="I69" s="55">
        <v>217.86</v>
      </c>
      <c r="J69" s="55">
        <v>0.99</v>
      </c>
      <c r="K69" s="55">
        <v>0.99</v>
      </c>
      <c r="L69" s="55">
        <v>0.37</v>
      </c>
      <c r="M69" s="55">
        <v>0.37</v>
      </c>
      <c r="N69" s="55"/>
    </row>
    <row r="70" spans="1:14">
      <c r="A70" s="55">
        <v>30</v>
      </c>
      <c r="B70" s="55" t="s">
        <v>590</v>
      </c>
      <c r="C70" s="55" t="s">
        <v>20</v>
      </c>
      <c r="D70" s="22">
        <v>80</v>
      </c>
      <c r="E70" s="22">
        <v>84</v>
      </c>
      <c r="F70" s="22">
        <v>80</v>
      </c>
      <c r="G70" s="22">
        <v>84</v>
      </c>
      <c r="H70" s="55">
        <v>-4.76</v>
      </c>
      <c r="I70" s="55">
        <v>-4.76</v>
      </c>
      <c r="J70" s="55">
        <v>0.89</v>
      </c>
      <c r="K70" s="55">
        <v>0.89</v>
      </c>
      <c r="L70" s="55">
        <v>1.1000000000000001</v>
      </c>
      <c r="M70" s="55">
        <v>1.1000000000000001</v>
      </c>
      <c r="N70" s="55"/>
    </row>
    <row r="71" spans="1:14" hidden="1">
      <c r="A71" s="55">
        <v>31</v>
      </c>
      <c r="B71" s="55" t="s">
        <v>370</v>
      </c>
      <c r="C71" s="55" t="s">
        <v>19</v>
      </c>
      <c r="D71" s="22">
        <v>74</v>
      </c>
      <c r="E71" s="22">
        <v>82</v>
      </c>
      <c r="F71" s="22">
        <v>74</v>
      </c>
      <c r="G71" s="22">
        <v>82</v>
      </c>
      <c r="H71" s="55">
        <v>-9.76</v>
      </c>
      <c r="I71" s="55">
        <v>-9.76</v>
      </c>
      <c r="J71" s="55">
        <v>0.82</v>
      </c>
      <c r="K71" s="55">
        <v>0.82</v>
      </c>
      <c r="L71" s="55">
        <v>1.07</v>
      </c>
      <c r="M71" s="55">
        <v>1.07</v>
      </c>
      <c r="N71" s="55"/>
    </row>
    <row r="72" spans="1:14" hidden="1">
      <c r="A72" s="55">
        <v>32</v>
      </c>
      <c r="B72" s="55" t="s">
        <v>456</v>
      </c>
      <c r="C72" s="55" t="s">
        <v>19</v>
      </c>
      <c r="D72" s="22">
        <v>68</v>
      </c>
      <c r="E72" s="22">
        <v>24</v>
      </c>
      <c r="F72" s="22">
        <v>68</v>
      </c>
      <c r="G72" s="22">
        <v>24</v>
      </c>
      <c r="H72" s="55">
        <v>183.33</v>
      </c>
      <c r="I72" s="55">
        <v>183.33</v>
      </c>
      <c r="J72" s="55">
        <v>0.75</v>
      </c>
      <c r="K72" s="55">
        <v>0.75</v>
      </c>
      <c r="L72" s="55">
        <v>0.31</v>
      </c>
      <c r="M72" s="55">
        <v>0.31</v>
      </c>
      <c r="N72" s="55"/>
    </row>
    <row r="73" spans="1:14" hidden="1">
      <c r="A73" s="55">
        <v>33</v>
      </c>
      <c r="B73" s="55" t="s">
        <v>352</v>
      </c>
      <c r="C73" s="55" t="s">
        <v>19</v>
      </c>
      <c r="D73" s="22">
        <v>66</v>
      </c>
      <c r="E73" s="22">
        <v>55</v>
      </c>
      <c r="F73" s="22">
        <v>66</v>
      </c>
      <c r="G73" s="22">
        <v>55</v>
      </c>
      <c r="H73" s="55">
        <v>20</v>
      </c>
      <c r="I73" s="55">
        <v>20</v>
      </c>
      <c r="J73" s="55">
        <v>0.73</v>
      </c>
      <c r="K73" s="55">
        <v>0.73</v>
      </c>
      <c r="L73" s="55">
        <v>0.72</v>
      </c>
      <c r="M73" s="55">
        <v>0.72</v>
      </c>
      <c r="N73" s="55"/>
    </row>
    <row r="74" spans="1:14">
      <c r="A74" s="55">
        <v>34</v>
      </c>
      <c r="B74" s="55" t="s">
        <v>639</v>
      </c>
      <c r="C74" s="55" t="s">
        <v>20</v>
      </c>
      <c r="D74" s="22">
        <v>66</v>
      </c>
      <c r="E74" s="22">
        <v>45</v>
      </c>
      <c r="F74" s="22">
        <v>66</v>
      </c>
      <c r="G74" s="22">
        <v>45</v>
      </c>
      <c r="H74" s="55">
        <v>46.67</v>
      </c>
      <c r="I74" s="55">
        <v>46.67</v>
      </c>
      <c r="J74" s="55">
        <v>0.73</v>
      </c>
      <c r="K74" s="55">
        <v>0.73</v>
      </c>
      <c r="L74" s="55">
        <v>0.59</v>
      </c>
      <c r="M74" s="55">
        <v>0.59</v>
      </c>
      <c r="N74" s="55"/>
    </row>
    <row r="75" spans="1:14" hidden="1">
      <c r="A75" s="55">
        <v>35</v>
      </c>
      <c r="B75" s="55" t="s">
        <v>376</v>
      </c>
      <c r="C75" s="55" t="s">
        <v>19</v>
      </c>
      <c r="D75" s="22">
        <v>65</v>
      </c>
      <c r="E75" s="22">
        <v>101</v>
      </c>
      <c r="F75" s="22">
        <v>65</v>
      </c>
      <c r="G75" s="22">
        <v>101</v>
      </c>
      <c r="H75" s="55">
        <v>-35.64</v>
      </c>
      <c r="I75" s="55">
        <v>-35.64</v>
      </c>
      <c r="J75" s="55">
        <v>0.72</v>
      </c>
      <c r="K75" s="55">
        <v>0.72</v>
      </c>
      <c r="L75" s="55">
        <v>1.32</v>
      </c>
      <c r="M75" s="55">
        <v>1.32</v>
      </c>
      <c r="N75" s="55"/>
    </row>
    <row r="76" spans="1:14" hidden="1">
      <c r="A76" s="55">
        <v>36</v>
      </c>
      <c r="B76" s="55" t="s">
        <v>40</v>
      </c>
      <c r="C76" s="55" t="s">
        <v>19</v>
      </c>
      <c r="D76" s="22">
        <v>65</v>
      </c>
      <c r="E76" s="22">
        <v>5</v>
      </c>
      <c r="F76" s="22">
        <v>65</v>
      </c>
      <c r="G76" s="22">
        <v>5</v>
      </c>
      <c r="H76" s="55">
        <v>1200</v>
      </c>
      <c r="I76" s="55">
        <v>1200</v>
      </c>
      <c r="J76" s="55">
        <v>0.72</v>
      </c>
      <c r="K76" s="55">
        <v>0.72</v>
      </c>
      <c r="L76" s="55">
        <v>7.0000000000000007E-2</v>
      </c>
      <c r="M76" s="55">
        <v>7.0000000000000007E-2</v>
      </c>
      <c r="N76" s="55"/>
    </row>
    <row r="77" spans="1:14" hidden="1">
      <c r="A77" s="55">
        <v>37</v>
      </c>
      <c r="B77" s="55" t="s">
        <v>387</v>
      </c>
      <c r="C77" s="55" t="s">
        <v>19</v>
      </c>
      <c r="D77" s="22">
        <v>63</v>
      </c>
      <c r="E77" s="22">
        <v>123</v>
      </c>
      <c r="F77" s="22">
        <v>63</v>
      </c>
      <c r="G77" s="22">
        <v>123</v>
      </c>
      <c r="H77" s="55">
        <v>-48.78</v>
      </c>
      <c r="I77" s="55">
        <v>-48.78</v>
      </c>
      <c r="J77" s="55">
        <v>0.7</v>
      </c>
      <c r="K77" s="55">
        <v>0.7</v>
      </c>
      <c r="L77" s="55">
        <v>1.61</v>
      </c>
      <c r="M77" s="55">
        <v>1.61</v>
      </c>
      <c r="N77" s="55"/>
    </row>
    <row r="78" spans="1:14" hidden="1">
      <c r="A78" s="55">
        <v>38</v>
      </c>
      <c r="B78" s="55" t="s">
        <v>903</v>
      </c>
      <c r="C78" s="55" t="s">
        <v>19</v>
      </c>
      <c r="D78" s="22">
        <v>63</v>
      </c>
      <c r="E78" s="22">
        <v>85</v>
      </c>
      <c r="F78" s="22">
        <v>63</v>
      </c>
      <c r="G78" s="22">
        <v>85</v>
      </c>
      <c r="H78" s="55">
        <v>-25.88</v>
      </c>
      <c r="I78" s="55">
        <v>-25.88</v>
      </c>
      <c r="J78" s="55">
        <v>0.7</v>
      </c>
      <c r="K78" s="55">
        <v>0.7</v>
      </c>
      <c r="L78" s="55">
        <v>1.1100000000000001</v>
      </c>
      <c r="M78" s="55">
        <v>1.1100000000000001</v>
      </c>
      <c r="N78" s="55"/>
    </row>
    <row r="79" spans="1:14">
      <c r="A79" s="55">
        <v>39</v>
      </c>
      <c r="B79" s="55" t="s">
        <v>215</v>
      </c>
      <c r="C79" s="55" t="s">
        <v>20</v>
      </c>
      <c r="D79" s="22">
        <v>62</v>
      </c>
      <c r="E79" s="22">
        <v>204</v>
      </c>
      <c r="F79" s="22">
        <v>62</v>
      </c>
      <c r="G79" s="22">
        <v>204</v>
      </c>
      <c r="H79" s="55">
        <v>-69.61</v>
      </c>
      <c r="I79" s="55">
        <v>-69.61</v>
      </c>
      <c r="J79" s="55">
        <v>0.69</v>
      </c>
      <c r="K79" s="55">
        <v>0.69</v>
      </c>
      <c r="L79" s="55">
        <v>2.67</v>
      </c>
      <c r="M79" s="55">
        <v>2.67</v>
      </c>
      <c r="N79" s="55"/>
    </row>
    <row r="80" spans="1:14" hidden="1">
      <c r="A80" s="55">
        <v>40</v>
      </c>
      <c r="B80" s="55" t="s">
        <v>596</v>
      </c>
      <c r="C80" s="55" t="s">
        <v>19</v>
      </c>
      <c r="D80" s="22">
        <v>61</v>
      </c>
      <c r="E80" s="22">
        <v>26</v>
      </c>
      <c r="F80" s="22">
        <v>61</v>
      </c>
      <c r="G80" s="22">
        <v>26</v>
      </c>
      <c r="H80" s="55">
        <v>134.62</v>
      </c>
      <c r="I80" s="55">
        <v>134.62</v>
      </c>
      <c r="J80" s="55">
        <v>0.68</v>
      </c>
      <c r="K80" s="55">
        <v>0.68</v>
      </c>
      <c r="L80" s="55">
        <v>0.34</v>
      </c>
      <c r="M80" s="55">
        <v>0.34</v>
      </c>
      <c r="N80" s="55"/>
    </row>
    <row r="81" spans="1:14" hidden="1">
      <c r="A81" s="55">
        <v>41</v>
      </c>
      <c r="B81" s="55" t="s">
        <v>589</v>
      </c>
      <c r="C81" s="55" t="s">
        <v>19</v>
      </c>
      <c r="D81" s="22">
        <v>60</v>
      </c>
      <c r="E81" s="22">
        <v>58</v>
      </c>
      <c r="F81" s="22">
        <v>60</v>
      </c>
      <c r="G81" s="22">
        <v>58</v>
      </c>
      <c r="H81" s="55">
        <v>3.45</v>
      </c>
      <c r="I81" s="55">
        <v>3.45</v>
      </c>
      <c r="J81" s="55">
        <v>0.67</v>
      </c>
      <c r="K81" s="55">
        <v>0.67</v>
      </c>
      <c r="L81" s="55">
        <v>0.76</v>
      </c>
      <c r="M81" s="55">
        <v>0.76</v>
      </c>
      <c r="N81" s="55"/>
    </row>
    <row r="82" spans="1:14">
      <c r="A82" s="55">
        <v>42</v>
      </c>
      <c r="B82" s="55" t="s">
        <v>630</v>
      </c>
      <c r="C82" s="55" t="s">
        <v>20</v>
      </c>
      <c r="D82" s="22">
        <v>60</v>
      </c>
      <c r="E82" s="22">
        <v>9</v>
      </c>
      <c r="F82" s="22">
        <v>60</v>
      </c>
      <c r="G82" s="22">
        <v>9</v>
      </c>
      <c r="H82" s="55">
        <v>566.66999999999996</v>
      </c>
      <c r="I82" s="55">
        <v>566.66999999999996</v>
      </c>
      <c r="J82" s="55">
        <v>0.67</v>
      </c>
      <c r="K82" s="55">
        <v>0.67</v>
      </c>
      <c r="L82" s="55">
        <v>0.12</v>
      </c>
      <c r="M82" s="55">
        <v>0.12</v>
      </c>
      <c r="N82" s="55"/>
    </row>
    <row r="83" spans="1:14">
      <c r="A83" s="55">
        <v>43</v>
      </c>
      <c r="B83" s="55" t="s">
        <v>1040</v>
      </c>
      <c r="C83" s="55" t="s">
        <v>20</v>
      </c>
      <c r="D83" s="22">
        <v>59</v>
      </c>
      <c r="E83" s="22">
        <v>0</v>
      </c>
      <c r="F83" s="22">
        <v>59</v>
      </c>
      <c r="G83" s="22">
        <v>0</v>
      </c>
      <c r="H83" s="55">
        <v>0</v>
      </c>
      <c r="I83" s="55">
        <v>0</v>
      </c>
      <c r="J83" s="55">
        <v>0.65</v>
      </c>
      <c r="K83" s="55">
        <v>0.65</v>
      </c>
      <c r="L83" s="55">
        <v>0</v>
      </c>
      <c r="M83" s="55">
        <v>0</v>
      </c>
      <c r="N83" s="55"/>
    </row>
    <row r="84" spans="1:14">
      <c r="A84" s="55">
        <v>44</v>
      </c>
      <c r="B84" s="55" t="s">
        <v>551</v>
      </c>
      <c r="C84" s="55" t="s">
        <v>20</v>
      </c>
      <c r="D84" s="22">
        <v>55</v>
      </c>
      <c r="E84" s="22">
        <v>17</v>
      </c>
      <c r="F84" s="22">
        <v>55</v>
      </c>
      <c r="G84" s="22">
        <v>17</v>
      </c>
      <c r="H84" s="55">
        <v>223.53</v>
      </c>
      <c r="I84" s="55">
        <v>223.53</v>
      </c>
      <c r="J84" s="55">
        <v>0.61</v>
      </c>
      <c r="K84" s="55">
        <v>0.61</v>
      </c>
      <c r="L84" s="55">
        <v>0.22</v>
      </c>
      <c r="M84" s="55">
        <v>0.22</v>
      </c>
      <c r="N84" s="55"/>
    </row>
    <row r="85" spans="1:14">
      <c r="A85" s="55">
        <v>45</v>
      </c>
      <c r="B85" s="55" t="s">
        <v>1011</v>
      </c>
      <c r="C85" s="55" t="s">
        <v>20</v>
      </c>
      <c r="D85" s="22">
        <v>55</v>
      </c>
      <c r="E85" s="22">
        <v>0</v>
      </c>
      <c r="F85" s="22">
        <v>55</v>
      </c>
      <c r="G85" s="22">
        <v>0</v>
      </c>
      <c r="H85" s="55">
        <v>0</v>
      </c>
      <c r="I85" s="55">
        <v>0</v>
      </c>
      <c r="J85" s="55">
        <v>0.61</v>
      </c>
      <c r="K85" s="55">
        <v>0.61</v>
      </c>
      <c r="L85" s="55">
        <v>0</v>
      </c>
      <c r="M85" s="55">
        <v>0</v>
      </c>
      <c r="N85" s="55"/>
    </row>
    <row r="86" spans="1:14">
      <c r="A86" s="55">
        <v>46</v>
      </c>
      <c r="B86" s="55" t="s">
        <v>585</v>
      </c>
      <c r="C86" s="55" t="s">
        <v>20</v>
      </c>
      <c r="D86" s="22">
        <v>54</v>
      </c>
      <c r="E86" s="22">
        <v>21</v>
      </c>
      <c r="F86" s="22">
        <v>54</v>
      </c>
      <c r="G86" s="22">
        <v>21</v>
      </c>
      <c r="H86" s="55">
        <v>157.13999999999999</v>
      </c>
      <c r="I86" s="55">
        <v>157.13999999999999</v>
      </c>
      <c r="J86" s="55">
        <v>0.6</v>
      </c>
      <c r="K86" s="55">
        <v>0.6</v>
      </c>
      <c r="L86" s="55">
        <v>0.28000000000000003</v>
      </c>
      <c r="M86" s="55">
        <v>0.28000000000000003</v>
      </c>
      <c r="N86" s="55"/>
    </row>
    <row r="87" spans="1:14" hidden="1">
      <c r="A87" s="55">
        <v>47</v>
      </c>
      <c r="B87" s="55" t="s">
        <v>366</v>
      </c>
      <c r="C87" s="55" t="s">
        <v>19</v>
      </c>
      <c r="D87" s="22">
        <v>51</v>
      </c>
      <c r="E87" s="22">
        <v>25</v>
      </c>
      <c r="F87" s="22">
        <v>51</v>
      </c>
      <c r="G87" s="22">
        <v>25</v>
      </c>
      <c r="H87" s="55">
        <v>104</v>
      </c>
      <c r="I87" s="55">
        <v>104</v>
      </c>
      <c r="J87" s="55">
        <v>0.56999999999999995</v>
      </c>
      <c r="K87" s="55">
        <v>0.56999999999999995</v>
      </c>
      <c r="L87" s="55">
        <v>0.33</v>
      </c>
      <c r="M87" s="55">
        <v>0.33</v>
      </c>
      <c r="N87" s="55"/>
    </row>
    <row r="88" spans="1:14" hidden="1">
      <c r="A88" s="55">
        <v>48</v>
      </c>
      <c r="B88" s="55" t="s">
        <v>530</v>
      </c>
      <c r="C88" s="55" t="s">
        <v>19</v>
      </c>
      <c r="D88" s="22">
        <v>45</v>
      </c>
      <c r="E88" s="22">
        <v>126</v>
      </c>
      <c r="F88" s="22">
        <v>45</v>
      </c>
      <c r="G88" s="22">
        <v>126</v>
      </c>
      <c r="H88" s="55">
        <v>-64.290000000000006</v>
      </c>
      <c r="I88" s="55">
        <v>-64.290000000000006</v>
      </c>
      <c r="J88" s="55">
        <v>0.5</v>
      </c>
      <c r="K88" s="55">
        <v>0.5</v>
      </c>
      <c r="L88" s="55">
        <v>1.65</v>
      </c>
      <c r="M88" s="55">
        <v>1.65</v>
      </c>
      <c r="N88" s="55"/>
    </row>
    <row r="89" spans="1:14" hidden="1">
      <c r="A89" s="55">
        <v>49</v>
      </c>
      <c r="B89" s="55" t="s">
        <v>214</v>
      </c>
      <c r="C89" s="55" t="s">
        <v>19</v>
      </c>
      <c r="D89" s="22">
        <v>43</v>
      </c>
      <c r="E89" s="22">
        <v>21</v>
      </c>
      <c r="F89" s="22">
        <v>43</v>
      </c>
      <c r="G89" s="22">
        <v>21</v>
      </c>
      <c r="H89" s="55">
        <v>104.76</v>
      </c>
      <c r="I89" s="55">
        <v>104.76</v>
      </c>
      <c r="J89" s="55">
        <v>0.48</v>
      </c>
      <c r="K89" s="55">
        <v>0.48</v>
      </c>
      <c r="L89" s="55">
        <v>0.28000000000000003</v>
      </c>
      <c r="M89" s="55">
        <v>0.28000000000000003</v>
      </c>
      <c r="N89" s="55"/>
    </row>
    <row r="90" spans="1:14" hidden="1">
      <c r="A90" s="55">
        <v>50</v>
      </c>
      <c r="B90" s="55" t="s">
        <v>221</v>
      </c>
      <c r="C90" s="55" t="s">
        <v>19</v>
      </c>
      <c r="D90" s="22">
        <v>39</v>
      </c>
      <c r="E90" s="22">
        <v>2</v>
      </c>
      <c r="F90" s="22">
        <v>39</v>
      </c>
      <c r="G90" s="22">
        <v>2</v>
      </c>
      <c r="H90" s="55">
        <v>1850</v>
      </c>
      <c r="I90" s="55">
        <v>1850</v>
      </c>
      <c r="J90" s="55">
        <v>0.43</v>
      </c>
      <c r="K90" s="55">
        <v>0.43</v>
      </c>
      <c r="L90" s="55">
        <v>0.03</v>
      </c>
      <c r="M90" s="55">
        <v>0.03</v>
      </c>
      <c r="N90" s="55"/>
    </row>
    <row r="91" spans="1:14" hidden="1">
      <c r="A91" s="55">
        <v>51</v>
      </c>
      <c r="B91" s="55" t="s">
        <v>115</v>
      </c>
      <c r="C91" s="55" t="s">
        <v>19</v>
      </c>
      <c r="D91" s="22">
        <v>38</v>
      </c>
      <c r="E91" s="22">
        <v>57</v>
      </c>
      <c r="F91" s="22">
        <v>38</v>
      </c>
      <c r="G91" s="22">
        <v>57</v>
      </c>
      <c r="H91" s="55">
        <v>-33.33</v>
      </c>
      <c r="I91" s="55">
        <v>-33.33</v>
      </c>
      <c r="J91" s="55">
        <v>0.42</v>
      </c>
      <c r="K91" s="55">
        <v>0.42</v>
      </c>
      <c r="L91" s="55">
        <v>0.75</v>
      </c>
      <c r="M91" s="55">
        <v>0.75</v>
      </c>
      <c r="N91" s="55"/>
    </row>
    <row r="92" spans="1:14">
      <c r="A92" s="55">
        <v>52</v>
      </c>
      <c r="B92" s="55" t="s">
        <v>942</v>
      </c>
      <c r="C92" s="55" t="s">
        <v>20</v>
      </c>
      <c r="D92" s="22">
        <v>38</v>
      </c>
      <c r="E92" s="22">
        <v>9</v>
      </c>
      <c r="F92" s="22">
        <v>38</v>
      </c>
      <c r="G92" s="22">
        <v>9</v>
      </c>
      <c r="H92" s="62">
        <v>322.22000000000003</v>
      </c>
      <c r="I92" s="62">
        <v>322.22000000000003</v>
      </c>
      <c r="J92" s="55">
        <v>0.42</v>
      </c>
      <c r="K92" s="55">
        <v>0.42</v>
      </c>
      <c r="L92" s="55">
        <v>0.12</v>
      </c>
      <c r="M92" s="55">
        <v>0.12</v>
      </c>
      <c r="N92" s="55"/>
    </row>
    <row r="93" spans="1:14">
      <c r="A93" s="55">
        <v>53</v>
      </c>
      <c r="B93" s="55" t="s">
        <v>925</v>
      </c>
      <c r="C93" s="55" t="s">
        <v>20</v>
      </c>
      <c r="D93" s="22">
        <v>36</v>
      </c>
      <c r="E93" s="22">
        <v>26</v>
      </c>
      <c r="F93" s="22">
        <v>36</v>
      </c>
      <c r="G93" s="22">
        <v>26</v>
      </c>
      <c r="H93" s="78">
        <v>38.46</v>
      </c>
      <c r="I93" s="78">
        <v>38.46</v>
      </c>
      <c r="J93" s="55">
        <v>0.4</v>
      </c>
      <c r="K93" s="55">
        <v>0.4</v>
      </c>
      <c r="L93" s="55">
        <v>0.34</v>
      </c>
      <c r="M93" s="55">
        <v>0.34</v>
      </c>
      <c r="N93" s="55"/>
    </row>
    <row r="94" spans="1:14">
      <c r="A94" s="55">
        <v>54</v>
      </c>
      <c r="B94" s="55" t="s">
        <v>1079</v>
      </c>
      <c r="C94" s="55" t="s">
        <v>20</v>
      </c>
      <c r="D94" s="22">
        <v>36</v>
      </c>
      <c r="E94" s="22">
        <v>0</v>
      </c>
      <c r="F94" s="22">
        <v>36</v>
      </c>
      <c r="G94" s="22">
        <v>0</v>
      </c>
      <c r="H94" s="55">
        <v>0</v>
      </c>
      <c r="I94" s="55">
        <v>0</v>
      </c>
      <c r="J94" s="55">
        <v>0.4</v>
      </c>
      <c r="K94" s="55">
        <v>0.4</v>
      </c>
      <c r="L94" s="55">
        <v>0</v>
      </c>
      <c r="M94" s="55">
        <v>0</v>
      </c>
      <c r="N94" s="55"/>
    </row>
    <row r="95" spans="1:14">
      <c r="A95" s="55">
        <v>55</v>
      </c>
      <c r="B95" s="55" t="s">
        <v>926</v>
      </c>
      <c r="C95" s="55" t="s">
        <v>20</v>
      </c>
      <c r="D95" s="22">
        <v>34</v>
      </c>
      <c r="E95" s="22">
        <v>33</v>
      </c>
      <c r="F95" s="22">
        <v>34</v>
      </c>
      <c r="G95" s="22">
        <v>33</v>
      </c>
      <c r="H95" s="55">
        <v>3.03</v>
      </c>
      <c r="I95" s="55">
        <v>3.03</v>
      </c>
      <c r="J95" s="55">
        <v>0.38</v>
      </c>
      <c r="K95" s="55">
        <v>0.38</v>
      </c>
      <c r="L95" s="55">
        <v>0.43</v>
      </c>
      <c r="M95" s="55">
        <v>0.43</v>
      </c>
      <c r="N95" s="55"/>
    </row>
    <row r="96" spans="1:14" hidden="1">
      <c r="A96" s="55">
        <v>56</v>
      </c>
      <c r="B96" s="55" t="s">
        <v>378</v>
      </c>
      <c r="C96" s="55" t="s">
        <v>19</v>
      </c>
      <c r="D96" s="22">
        <v>32</v>
      </c>
      <c r="E96" s="22">
        <v>11</v>
      </c>
      <c r="F96" s="22">
        <v>32</v>
      </c>
      <c r="G96" s="22">
        <v>11</v>
      </c>
      <c r="H96" s="55">
        <v>190.91</v>
      </c>
      <c r="I96" s="55">
        <v>190.91</v>
      </c>
      <c r="J96" s="55">
        <v>0.36</v>
      </c>
      <c r="K96" s="55">
        <v>0.36</v>
      </c>
      <c r="L96" s="55">
        <v>0.14000000000000001</v>
      </c>
      <c r="M96" s="55">
        <v>0.14000000000000001</v>
      </c>
      <c r="N96" s="55"/>
    </row>
    <row r="97" spans="1:14">
      <c r="A97" s="55">
        <v>57</v>
      </c>
      <c r="B97" s="55" t="s">
        <v>461</v>
      </c>
      <c r="C97" s="55" t="s">
        <v>20</v>
      </c>
      <c r="D97" s="22">
        <v>31</v>
      </c>
      <c r="E97" s="22">
        <v>42</v>
      </c>
      <c r="F97" s="22">
        <v>31</v>
      </c>
      <c r="G97" s="22">
        <v>42</v>
      </c>
      <c r="H97" s="55">
        <v>-26.19</v>
      </c>
      <c r="I97" s="55">
        <v>-26.19</v>
      </c>
      <c r="J97" s="55">
        <v>0.34</v>
      </c>
      <c r="K97" s="55">
        <v>0.34</v>
      </c>
      <c r="L97" s="55">
        <v>0.55000000000000004</v>
      </c>
      <c r="M97" s="55">
        <v>0.55000000000000004</v>
      </c>
      <c r="N97" s="55"/>
    </row>
    <row r="98" spans="1:14" hidden="1">
      <c r="A98" s="55">
        <v>58</v>
      </c>
      <c r="B98" s="55" t="s">
        <v>218</v>
      </c>
      <c r="C98" s="55" t="s">
        <v>19</v>
      </c>
      <c r="D98" s="22">
        <v>30</v>
      </c>
      <c r="E98" s="22">
        <v>62</v>
      </c>
      <c r="F98" s="22">
        <v>30</v>
      </c>
      <c r="G98" s="22">
        <v>62</v>
      </c>
      <c r="H98" s="55">
        <v>-51.61</v>
      </c>
      <c r="I98" s="55">
        <v>-51.61</v>
      </c>
      <c r="J98" s="55">
        <v>0.33</v>
      </c>
      <c r="K98" s="55">
        <v>0.33</v>
      </c>
      <c r="L98" s="55">
        <v>0.81</v>
      </c>
      <c r="M98" s="55">
        <v>0.81</v>
      </c>
      <c r="N98" s="55"/>
    </row>
    <row r="99" spans="1:14">
      <c r="A99" s="55">
        <v>59</v>
      </c>
      <c r="B99" s="55" t="s">
        <v>932</v>
      </c>
      <c r="C99" s="55" t="s">
        <v>20</v>
      </c>
      <c r="D99" s="22">
        <v>30</v>
      </c>
      <c r="E99" s="22">
        <v>18</v>
      </c>
      <c r="F99" s="22">
        <v>30</v>
      </c>
      <c r="G99" s="22">
        <v>18</v>
      </c>
      <c r="H99" s="55">
        <v>66.67</v>
      </c>
      <c r="I99" s="55">
        <v>66.67</v>
      </c>
      <c r="J99" s="55">
        <v>0.33</v>
      </c>
      <c r="K99" s="55">
        <v>0.33</v>
      </c>
      <c r="L99" s="55">
        <v>0.24</v>
      </c>
      <c r="M99" s="55">
        <v>0.24</v>
      </c>
      <c r="N99" s="55"/>
    </row>
    <row r="100" spans="1:14" hidden="1">
      <c r="A100" s="55">
        <v>60</v>
      </c>
      <c r="B100" s="55" t="s">
        <v>123</v>
      </c>
      <c r="C100" s="55" t="s">
        <v>19</v>
      </c>
      <c r="D100" s="22">
        <v>30</v>
      </c>
      <c r="E100" s="22">
        <v>5</v>
      </c>
      <c r="F100" s="22">
        <v>30</v>
      </c>
      <c r="G100" s="22">
        <v>5</v>
      </c>
      <c r="H100" s="55">
        <v>500</v>
      </c>
      <c r="I100" s="55">
        <v>500</v>
      </c>
      <c r="J100" s="55">
        <v>0.33</v>
      </c>
      <c r="K100" s="55">
        <v>0.33</v>
      </c>
      <c r="L100" s="55">
        <v>7.0000000000000007E-2</v>
      </c>
      <c r="M100" s="55">
        <v>7.0000000000000007E-2</v>
      </c>
      <c r="N100" s="55"/>
    </row>
    <row r="101" spans="1:14" hidden="1">
      <c r="A101" s="55">
        <v>61</v>
      </c>
      <c r="B101" s="55" t="s">
        <v>359</v>
      </c>
      <c r="C101" s="55" t="s">
        <v>19</v>
      </c>
      <c r="D101" s="22">
        <v>29</v>
      </c>
      <c r="E101" s="22">
        <v>105</v>
      </c>
      <c r="F101" s="22">
        <v>29</v>
      </c>
      <c r="G101" s="22">
        <v>105</v>
      </c>
      <c r="H101" s="55">
        <v>-72.38</v>
      </c>
      <c r="I101" s="55">
        <v>-72.38</v>
      </c>
      <c r="J101" s="55">
        <v>0.32</v>
      </c>
      <c r="K101" s="55">
        <v>0.32</v>
      </c>
      <c r="L101" s="55">
        <v>1.38</v>
      </c>
      <c r="M101" s="55">
        <v>1.38</v>
      </c>
      <c r="N101" s="55"/>
    </row>
    <row r="102" spans="1:14">
      <c r="A102" s="55">
        <v>62</v>
      </c>
      <c r="B102" s="55" t="s">
        <v>957</v>
      </c>
      <c r="C102" s="55" t="s">
        <v>20</v>
      </c>
      <c r="D102" s="22">
        <v>29</v>
      </c>
      <c r="E102" s="22">
        <v>7</v>
      </c>
      <c r="F102" s="22">
        <v>29</v>
      </c>
      <c r="G102" s="22">
        <v>7</v>
      </c>
      <c r="H102" s="55">
        <v>314.29000000000002</v>
      </c>
      <c r="I102" s="55">
        <v>314.29000000000002</v>
      </c>
      <c r="J102" s="55">
        <v>0.32</v>
      </c>
      <c r="K102" s="55">
        <v>0.32</v>
      </c>
      <c r="L102" s="55">
        <v>0.09</v>
      </c>
      <c r="M102" s="55">
        <v>0.09</v>
      </c>
      <c r="N102" s="55"/>
    </row>
    <row r="103" spans="1:14" hidden="1">
      <c r="A103" s="55">
        <v>63</v>
      </c>
      <c r="B103" s="55" t="s">
        <v>353</v>
      </c>
      <c r="C103" s="55" t="s">
        <v>19</v>
      </c>
      <c r="D103" s="22">
        <v>28</v>
      </c>
      <c r="E103" s="22">
        <v>30</v>
      </c>
      <c r="F103" s="22">
        <v>28</v>
      </c>
      <c r="G103" s="22">
        <v>30</v>
      </c>
      <c r="H103" s="55">
        <v>-6.67</v>
      </c>
      <c r="I103" s="55">
        <v>-6.67</v>
      </c>
      <c r="J103" s="55">
        <v>0.31</v>
      </c>
      <c r="K103" s="55">
        <v>0.31</v>
      </c>
      <c r="L103" s="55">
        <v>0.39</v>
      </c>
      <c r="M103" s="55">
        <v>0.39</v>
      </c>
      <c r="N103" s="55"/>
    </row>
    <row r="104" spans="1:14">
      <c r="A104" s="55">
        <v>64</v>
      </c>
      <c r="B104" s="55" t="s">
        <v>412</v>
      </c>
      <c r="C104" s="55" t="s">
        <v>20</v>
      </c>
      <c r="D104" s="22">
        <v>28</v>
      </c>
      <c r="E104" s="22">
        <v>13</v>
      </c>
      <c r="F104" s="22">
        <v>28</v>
      </c>
      <c r="G104" s="22">
        <v>13</v>
      </c>
      <c r="H104" s="55">
        <v>115.38</v>
      </c>
      <c r="I104" s="55">
        <v>115.38</v>
      </c>
      <c r="J104" s="55">
        <v>0.31</v>
      </c>
      <c r="K104" s="55">
        <v>0.31</v>
      </c>
      <c r="L104" s="55">
        <v>0.17</v>
      </c>
      <c r="M104" s="55">
        <v>0.17</v>
      </c>
      <c r="N104" s="55"/>
    </row>
    <row r="105" spans="1:14" hidden="1">
      <c r="A105" s="55">
        <v>65</v>
      </c>
      <c r="B105" s="55" t="s">
        <v>405</v>
      </c>
      <c r="C105" s="55" t="s">
        <v>19</v>
      </c>
      <c r="D105" s="22">
        <v>26</v>
      </c>
      <c r="E105" s="22">
        <v>1</v>
      </c>
      <c r="F105" s="22">
        <v>26</v>
      </c>
      <c r="G105" s="22">
        <v>1</v>
      </c>
      <c r="H105" s="55">
        <v>2500</v>
      </c>
      <c r="I105" s="55">
        <v>2500</v>
      </c>
      <c r="J105" s="55">
        <v>0.28999999999999998</v>
      </c>
      <c r="K105" s="55">
        <v>0.28999999999999998</v>
      </c>
      <c r="L105" s="55">
        <v>0.01</v>
      </c>
      <c r="M105" s="55">
        <v>0.01</v>
      </c>
      <c r="N105" s="55"/>
    </row>
    <row r="106" spans="1:14">
      <c r="A106" s="55">
        <v>66</v>
      </c>
      <c r="B106" s="55" t="s">
        <v>377</v>
      </c>
      <c r="C106" s="55" t="s">
        <v>20</v>
      </c>
      <c r="D106" s="22">
        <v>25</v>
      </c>
      <c r="E106" s="22">
        <v>27</v>
      </c>
      <c r="F106" s="22">
        <v>25</v>
      </c>
      <c r="G106" s="22">
        <v>27</v>
      </c>
      <c r="H106" s="55">
        <v>-7.41</v>
      </c>
      <c r="I106" s="55">
        <v>-7.41</v>
      </c>
      <c r="J106" s="55">
        <v>0.28000000000000003</v>
      </c>
      <c r="K106" s="55">
        <v>0.28000000000000003</v>
      </c>
      <c r="L106" s="55">
        <v>0.35</v>
      </c>
      <c r="M106" s="55">
        <v>0.35</v>
      </c>
      <c r="N106" s="55"/>
    </row>
    <row r="107" spans="1:14" hidden="1">
      <c r="A107" s="55">
        <v>67</v>
      </c>
      <c r="B107" s="55" t="s">
        <v>75</v>
      </c>
      <c r="C107" s="55" t="s">
        <v>19</v>
      </c>
      <c r="D107" s="22">
        <v>25</v>
      </c>
      <c r="E107" s="22">
        <v>15</v>
      </c>
      <c r="F107" s="22">
        <v>25</v>
      </c>
      <c r="G107" s="22">
        <v>15</v>
      </c>
      <c r="H107" s="55">
        <v>66.67</v>
      </c>
      <c r="I107" s="55">
        <v>66.67</v>
      </c>
      <c r="J107" s="55">
        <v>0.28000000000000003</v>
      </c>
      <c r="K107" s="55">
        <v>0.28000000000000003</v>
      </c>
      <c r="L107" s="55">
        <v>0.2</v>
      </c>
      <c r="M107" s="55">
        <v>0.2</v>
      </c>
      <c r="N107" s="55"/>
    </row>
    <row r="108" spans="1:14">
      <c r="A108" s="55">
        <v>68</v>
      </c>
      <c r="B108" s="55" t="s">
        <v>1115</v>
      </c>
      <c r="C108" s="55" t="s">
        <v>20</v>
      </c>
      <c r="D108" s="22">
        <v>25</v>
      </c>
      <c r="E108" s="22">
        <v>0</v>
      </c>
      <c r="F108" s="22">
        <v>25</v>
      </c>
      <c r="G108" s="22">
        <v>0</v>
      </c>
      <c r="H108" s="55">
        <v>0</v>
      </c>
      <c r="I108" s="55">
        <v>0</v>
      </c>
      <c r="J108" s="55">
        <v>0.28000000000000003</v>
      </c>
      <c r="K108" s="55">
        <v>0.28000000000000003</v>
      </c>
      <c r="L108" s="55">
        <v>0</v>
      </c>
      <c r="M108" s="55">
        <v>0</v>
      </c>
      <c r="N108" s="55"/>
    </row>
    <row r="109" spans="1:14" hidden="1">
      <c r="A109" s="55">
        <v>69</v>
      </c>
      <c r="B109" s="55" t="s">
        <v>389</v>
      </c>
      <c r="C109" s="55" t="s">
        <v>19</v>
      </c>
      <c r="D109" s="22">
        <v>24</v>
      </c>
      <c r="E109" s="22">
        <v>30</v>
      </c>
      <c r="F109" s="22">
        <v>24</v>
      </c>
      <c r="G109" s="22">
        <v>30</v>
      </c>
      <c r="H109" s="55">
        <v>-20</v>
      </c>
      <c r="I109" s="55">
        <v>-20</v>
      </c>
      <c r="J109" s="55">
        <v>0.27</v>
      </c>
      <c r="K109" s="55">
        <v>0.27</v>
      </c>
      <c r="L109" s="55">
        <v>0.39</v>
      </c>
      <c r="M109" s="55">
        <v>0.39</v>
      </c>
      <c r="N109" s="55"/>
    </row>
    <row r="110" spans="1:14" hidden="1">
      <c r="A110" s="55">
        <v>70</v>
      </c>
      <c r="B110" s="55" t="s">
        <v>360</v>
      </c>
      <c r="C110" s="55" t="s">
        <v>19</v>
      </c>
      <c r="D110" s="22">
        <v>23</v>
      </c>
      <c r="E110" s="22">
        <v>9</v>
      </c>
      <c r="F110" s="22">
        <v>23</v>
      </c>
      <c r="G110" s="22">
        <v>9</v>
      </c>
      <c r="H110" s="55">
        <v>155.56</v>
      </c>
      <c r="I110" s="55">
        <v>155.56</v>
      </c>
      <c r="J110" s="55">
        <v>0.26</v>
      </c>
      <c r="K110" s="55">
        <v>0.26</v>
      </c>
      <c r="L110" s="55">
        <v>0.12</v>
      </c>
      <c r="M110" s="55">
        <v>0.12</v>
      </c>
      <c r="N110" s="55"/>
    </row>
    <row r="111" spans="1:14" hidden="1">
      <c r="A111" s="55">
        <v>71</v>
      </c>
      <c r="B111" s="55" t="s">
        <v>459</v>
      </c>
      <c r="C111" s="55" t="s">
        <v>19</v>
      </c>
      <c r="D111" s="22">
        <v>23</v>
      </c>
      <c r="E111" s="22">
        <v>2</v>
      </c>
      <c r="F111" s="22">
        <v>23</v>
      </c>
      <c r="G111" s="22">
        <v>2</v>
      </c>
      <c r="H111" s="55">
        <v>1050</v>
      </c>
      <c r="I111" s="55">
        <v>1050</v>
      </c>
      <c r="J111" s="55">
        <v>0.26</v>
      </c>
      <c r="K111" s="55">
        <v>0.26</v>
      </c>
      <c r="L111" s="55">
        <v>0.03</v>
      </c>
      <c r="M111" s="55">
        <v>0.03</v>
      </c>
      <c r="N111" s="55"/>
    </row>
    <row r="112" spans="1:14">
      <c r="A112" s="55">
        <v>72</v>
      </c>
      <c r="B112" s="55" t="s">
        <v>1097</v>
      </c>
      <c r="C112" s="55" t="s">
        <v>20</v>
      </c>
      <c r="D112" s="22">
        <v>23</v>
      </c>
      <c r="E112" s="22">
        <v>0</v>
      </c>
      <c r="F112" s="22">
        <v>23</v>
      </c>
      <c r="G112" s="22">
        <v>0</v>
      </c>
      <c r="H112" s="55">
        <v>0</v>
      </c>
      <c r="I112" s="55">
        <v>0</v>
      </c>
      <c r="J112" s="55">
        <v>0.26</v>
      </c>
      <c r="K112" s="55">
        <v>0.26</v>
      </c>
      <c r="L112" s="55">
        <v>0</v>
      </c>
      <c r="M112" s="55">
        <v>0</v>
      </c>
      <c r="N112" s="55"/>
    </row>
    <row r="113" spans="1:14" hidden="1">
      <c r="A113" s="55">
        <v>73</v>
      </c>
      <c r="B113" s="55" t="s">
        <v>380</v>
      </c>
      <c r="C113" s="55" t="s">
        <v>19</v>
      </c>
      <c r="D113" s="22">
        <v>22</v>
      </c>
      <c r="E113" s="22">
        <v>23</v>
      </c>
      <c r="F113" s="22">
        <v>22</v>
      </c>
      <c r="G113" s="22">
        <v>23</v>
      </c>
      <c r="H113" s="55">
        <v>-4.3499999999999996</v>
      </c>
      <c r="I113" s="55">
        <v>-4.3499999999999996</v>
      </c>
      <c r="J113" s="55">
        <v>0.24</v>
      </c>
      <c r="K113" s="55">
        <v>0.24</v>
      </c>
      <c r="L113" s="55">
        <v>0.3</v>
      </c>
      <c r="M113" s="55">
        <v>0.3</v>
      </c>
      <c r="N113" s="55"/>
    </row>
    <row r="114" spans="1:14">
      <c r="A114" s="55">
        <v>74</v>
      </c>
      <c r="B114" s="55" t="s">
        <v>372</v>
      </c>
      <c r="C114" s="55" t="s">
        <v>20</v>
      </c>
      <c r="D114" s="22">
        <v>22</v>
      </c>
      <c r="E114" s="22">
        <v>11</v>
      </c>
      <c r="F114" s="22">
        <v>22</v>
      </c>
      <c r="G114" s="22">
        <v>11</v>
      </c>
      <c r="H114" s="55">
        <v>100</v>
      </c>
      <c r="I114" s="55">
        <v>100</v>
      </c>
      <c r="J114" s="55">
        <v>0.24</v>
      </c>
      <c r="K114" s="55">
        <v>0.24</v>
      </c>
      <c r="L114" s="55">
        <v>0.14000000000000001</v>
      </c>
      <c r="M114" s="55">
        <v>0.14000000000000001</v>
      </c>
      <c r="N114" s="55"/>
    </row>
    <row r="115" spans="1:14" hidden="1">
      <c r="A115" s="55">
        <v>75</v>
      </c>
      <c r="B115" s="55" t="s">
        <v>980</v>
      </c>
      <c r="C115" s="55" t="s">
        <v>19</v>
      </c>
      <c r="D115" s="22">
        <v>22</v>
      </c>
      <c r="E115" s="22">
        <v>1</v>
      </c>
      <c r="F115" s="22">
        <v>22</v>
      </c>
      <c r="G115" s="22">
        <v>1</v>
      </c>
      <c r="H115" s="55">
        <v>2100</v>
      </c>
      <c r="I115" s="55">
        <v>2100</v>
      </c>
      <c r="J115" s="55">
        <v>0.24</v>
      </c>
      <c r="K115" s="55">
        <v>0.24</v>
      </c>
      <c r="L115" s="55">
        <v>0.01</v>
      </c>
      <c r="M115" s="55">
        <v>0.01</v>
      </c>
      <c r="N115" s="55"/>
    </row>
    <row r="116" spans="1:14">
      <c r="A116" s="55">
        <v>76</v>
      </c>
      <c r="B116" s="55" t="s">
        <v>634</v>
      </c>
      <c r="C116" s="55" t="s">
        <v>20</v>
      </c>
      <c r="D116" s="22">
        <v>20</v>
      </c>
      <c r="E116" s="22">
        <v>81</v>
      </c>
      <c r="F116" s="22">
        <v>20</v>
      </c>
      <c r="G116" s="22">
        <v>81</v>
      </c>
      <c r="H116" s="55">
        <v>-75.31</v>
      </c>
      <c r="I116" s="55">
        <v>-75.31</v>
      </c>
      <c r="J116" s="55">
        <v>0.22</v>
      </c>
      <c r="K116" s="55">
        <v>0.22</v>
      </c>
      <c r="L116" s="55">
        <v>1.06</v>
      </c>
      <c r="M116" s="55">
        <v>1.06</v>
      </c>
      <c r="N116" s="55"/>
    </row>
    <row r="117" spans="1:14">
      <c r="A117" s="55">
        <v>77</v>
      </c>
      <c r="B117" s="55" t="s">
        <v>562</v>
      </c>
      <c r="C117" s="55" t="s">
        <v>20</v>
      </c>
      <c r="D117" s="22">
        <v>20</v>
      </c>
      <c r="E117" s="22">
        <v>17</v>
      </c>
      <c r="F117" s="22">
        <v>20</v>
      </c>
      <c r="G117" s="22">
        <v>17</v>
      </c>
      <c r="H117" s="55">
        <v>17.649999999999999</v>
      </c>
      <c r="I117" s="55">
        <v>17.649999999999999</v>
      </c>
      <c r="J117" s="55">
        <v>0.22</v>
      </c>
      <c r="K117" s="55">
        <v>0.22</v>
      </c>
      <c r="L117" s="55">
        <v>0.22</v>
      </c>
      <c r="M117" s="55">
        <v>0.22</v>
      </c>
      <c r="N117" s="55"/>
    </row>
    <row r="118" spans="1:14" hidden="1">
      <c r="A118" s="55">
        <v>78</v>
      </c>
      <c r="B118" s="55" t="s">
        <v>451</v>
      </c>
      <c r="C118" s="55" t="s">
        <v>19</v>
      </c>
      <c r="D118" s="22">
        <v>19</v>
      </c>
      <c r="E118" s="22">
        <v>178</v>
      </c>
      <c r="F118" s="22">
        <v>19</v>
      </c>
      <c r="G118" s="22">
        <v>178</v>
      </c>
      <c r="H118" s="55">
        <v>-89.33</v>
      </c>
      <c r="I118" s="55">
        <v>-89.33</v>
      </c>
      <c r="J118" s="55">
        <v>0.21</v>
      </c>
      <c r="K118" s="55">
        <v>0.21</v>
      </c>
      <c r="L118" s="55">
        <v>2.33</v>
      </c>
      <c r="M118" s="55">
        <v>2.33</v>
      </c>
      <c r="N118" s="55"/>
    </row>
    <row r="119" spans="1:14">
      <c r="A119" s="55">
        <v>79</v>
      </c>
      <c r="B119" s="55" t="s">
        <v>343</v>
      </c>
      <c r="C119" s="55" t="s">
        <v>20</v>
      </c>
      <c r="D119" s="22">
        <v>18</v>
      </c>
      <c r="E119" s="22">
        <v>102</v>
      </c>
      <c r="F119" s="22">
        <v>18</v>
      </c>
      <c r="G119" s="22">
        <v>102</v>
      </c>
      <c r="H119" s="55">
        <v>-82.35</v>
      </c>
      <c r="I119" s="55">
        <v>-82.35</v>
      </c>
      <c r="J119" s="55">
        <v>0.2</v>
      </c>
      <c r="K119" s="55">
        <v>0.2</v>
      </c>
      <c r="L119" s="55">
        <v>1.34</v>
      </c>
      <c r="M119" s="55">
        <v>1.34</v>
      </c>
      <c r="N119" s="55"/>
    </row>
    <row r="120" spans="1:14" hidden="1">
      <c r="A120" s="55">
        <v>80</v>
      </c>
      <c r="B120" s="55" t="s">
        <v>458</v>
      </c>
      <c r="C120" s="55" t="s">
        <v>19</v>
      </c>
      <c r="D120" s="22">
        <v>18</v>
      </c>
      <c r="E120" s="22">
        <v>2</v>
      </c>
      <c r="F120" s="22">
        <v>18</v>
      </c>
      <c r="G120" s="22">
        <v>2</v>
      </c>
      <c r="H120" s="55">
        <v>800</v>
      </c>
      <c r="I120" s="55">
        <v>800</v>
      </c>
      <c r="J120" s="55">
        <v>0.2</v>
      </c>
      <c r="K120" s="55">
        <v>0.2</v>
      </c>
      <c r="L120" s="55">
        <v>0.03</v>
      </c>
      <c r="M120" s="55">
        <v>0.03</v>
      </c>
      <c r="N120" s="55"/>
    </row>
    <row r="121" spans="1:14">
      <c r="A121" s="55">
        <v>81</v>
      </c>
      <c r="B121" s="55" t="s">
        <v>945</v>
      </c>
      <c r="C121" s="55" t="s">
        <v>20</v>
      </c>
      <c r="D121" s="22">
        <v>17</v>
      </c>
      <c r="E121" s="22">
        <v>110</v>
      </c>
      <c r="F121" s="22">
        <v>17</v>
      </c>
      <c r="G121" s="22">
        <v>110</v>
      </c>
      <c r="H121" s="55">
        <v>-84.55</v>
      </c>
      <c r="I121" s="55">
        <v>-84.55</v>
      </c>
      <c r="J121" s="55">
        <v>0.19</v>
      </c>
      <c r="K121" s="55">
        <v>0.19</v>
      </c>
      <c r="L121" s="55">
        <v>1.44</v>
      </c>
      <c r="M121" s="55">
        <v>1.44</v>
      </c>
      <c r="N121" s="55"/>
    </row>
    <row r="122" spans="1:14" hidden="1">
      <c r="A122" s="55">
        <v>82</v>
      </c>
      <c r="B122" s="55" t="s">
        <v>463</v>
      </c>
      <c r="C122" s="55" t="s">
        <v>19</v>
      </c>
      <c r="D122" s="22">
        <v>17</v>
      </c>
      <c r="E122" s="22">
        <v>8</v>
      </c>
      <c r="F122" s="22">
        <v>17</v>
      </c>
      <c r="G122" s="22">
        <v>8</v>
      </c>
      <c r="H122" s="55">
        <v>112.5</v>
      </c>
      <c r="I122" s="55">
        <v>112.5</v>
      </c>
      <c r="J122" s="55">
        <v>0.19</v>
      </c>
      <c r="K122" s="55">
        <v>0.19</v>
      </c>
      <c r="L122" s="55">
        <v>0.1</v>
      </c>
      <c r="M122" s="55">
        <v>0.1</v>
      </c>
      <c r="N122" s="55"/>
    </row>
    <row r="123" spans="1:14">
      <c r="A123" s="55">
        <v>83</v>
      </c>
      <c r="B123" s="55" t="s">
        <v>586</v>
      </c>
      <c r="C123" s="55" t="s">
        <v>20</v>
      </c>
      <c r="D123" s="22">
        <v>13</v>
      </c>
      <c r="E123" s="22">
        <v>39</v>
      </c>
      <c r="F123" s="22">
        <v>13</v>
      </c>
      <c r="G123" s="22">
        <v>39</v>
      </c>
      <c r="H123" s="55">
        <v>-66.67</v>
      </c>
      <c r="I123" s="55">
        <v>-66.67</v>
      </c>
      <c r="J123" s="55">
        <v>0.14000000000000001</v>
      </c>
      <c r="K123" s="55">
        <v>0.14000000000000001</v>
      </c>
      <c r="L123" s="55">
        <v>0.51</v>
      </c>
      <c r="M123" s="55">
        <v>0.51</v>
      </c>
      <c r="N123" s="55"/>
    </row>
    <row r="124" spans="1:14">
      <c r="A124" s="55">
        <v>84</v>
      </c>
      <c r="B124" s="55" t="s">
        <v>409</v>
      </c>
      <c r="C124" s="55" t="s">
        <v>20</v>
      </c>
      <c r="D124" s="22">
        <v>13</v>
      </c>
      <c r="E124" s="22">
        <v>0</v>
      </c>
      <c r="F124" s="22">
        <v>13</v>
      </c>
      <c r="G124" s="22">
        <v>0</v>
      </c>
      <c r="H124" s="55">
        <v>0</v>
      </c>
      <c r="I124" s="55">
        <v>0</v>
      </c>
      <c r="J124" s="55">
        <v>0.14000000000000001</v>
      </c>
      <c r="K124" s="55">
        <v>0.14000000000000001</v>
      </c>
      <c r="L124" s="55">
        <v>0</v>
      </c>
      <c r="M124" s="55">
        <v>0</v>
      </c>
      <c r="N124" s="55"/>
    </row>
    <row r="125" spans="1:14" hidden="1">
      <c r="A125" s="55">
        <v>85</v>
      </c>
      <c r="B125" s="55" t="s">
        <v>959</v>
      </c>
      <c r="C125" s="55" t="s">
        <v>19</v>
      </c>
      <c r="D125" s="22">
        <v>12</v>
      </c>
      <c r="E125" s="22">
        <v>19</v>
      </c>
      <c r="F125" s="22">
        <v>12</v>
      </c>
      <c r="G125" s="22">
        <v>19</v>
      </c>
      <c r="H125" s="55">
        <v>-36.840000000000003</v>
      </c>
      <c r="I125" s="55">
        <v>-36.840000000000003</v>
      </c>
      <c r="J125" s="55">
        <v>0.13</v>
      </c>
      <c r="K125" s="55">
        <v>0.13</v>
      </c>
      <c r="L125" s="55">
        <v>0.25</v>
      </c>
      <c r="M125" s="55">
        <v>0.25</v>
      </c>
      <c r="N125" s="55"/>
    </row>
    <row r="126" spans="1:14" hidden="1">
      <c r="A126" s="55">
        <v>86</v>
      </c>
      <c r="B126" s="55" t="s">
        <v>219</v>
      </c>
      <c r="C126" s="55" t="s">
        <v>19</v>
      </c>
      <c r="D126" s="22">
        <v>12</v>
      </c>
      <c r="E126" s="22">
        <v>18</v>
      </c>
      <c r="F126" s="22">
        <v>12</v>
      </c>
      <c r="G126" s="22">
        <v>18</v>
      </c>
      <c r="H126" s="55">
        <v>-33.33</v>
      </c>
      <c r="I126" s="55">
        <v>-33.33</v>
      </c>
      <c r="J126" s="55">
        <v>0.13</v>
      </c>
      <c r="K126" s="55">
        <v>0.13</v>
      </c>
      <c r="L126" s="55">
        <v>0.24</v>
      </c>
      <c r="M126" s="55">
        <v>0.24</v>
      </c>
      <c r="N126" s="55"/>
    </row>
    <row r="127" spans="1:14">
      <c r="A127" s="55">
        <v>87</v>
      </c>
      <c r="B127" s="55" t="s">
        <v>1081</v>
      </c>
      <c r="C127" s="55" t="s">
        <v>20</v>
      </c>
      <c r="D127" s="22">
        <v>12</v>
      </c>
      <c r="E127" s="22">
        <v>0</v>
      </c>
      <c r="F127" s="22">
        <v>12</v>
      </c>
      <c r="G127" s="22">
        <v>0</v>
      </c>
      <c r="H127" s="55">
        <v>0</v>
      </c>
      <c r="I127" s="55">
        <v>0</v>
      </c>
      <c r="J127" s="55">
        <v>0.13</v>
      </c>
      <c r="K127" s="55">
        <v>0.13</v>
      </c>
      <c r="L127" s="55">
        <v>0</v>
      </c>
      <c r="M127" s="55">
        <v>0</v>
      </c>
      <c r="N127" s="55"/>
    </row>
    <row r="128" spans="1:14">
      <c r="A128" s="55">
        <v>88</v>
      </c>
      <c r="B128" s="55" t="s">
        <v>547</v>
      </c>
      <c r="C128" s="55" t="s">
        <v>20</v>
      </c>
      <c r="D128" s="22">
        <v>12</v>
      </c>
      <c r="E128" s="22">
        <v>0</v>
      </c>
      <c r="F128" s="22">
        <v>12</v>
      </c>
      <c r="G128" s="22">
        <v>0</v>
      </c>
      <c r="H128" s="55">
        <v>0</v>
      </c>
      <c r="I128" s="55">
        <v>0</v>
      </c>
      <c r="J128" s="55">
        <v>0.13</v>
      </c>
      <c r="K128" s="55">
        <v>0.13</v>
      </c>
      <c r="L128" s="55">
        <v>0</v>
      </c>
      <c r="M128" s="55">
        <v>0</v>
      </c>
      <c r="N128" s="55"/>
    </row>
    <row r="129" spans="1:14" hidden="1">
      <c r="A129" s="55">
        <v>89</v>
      </c>
      <c r="B129" s="55" t="s">
        <v>998</v>
      </c>
      <c r="C129" s="55" t="s">
        <v>19</v>
      </c>
      <c r="D129" s="22">
        <v>12</v>
      </c>
      <c r="E129" s="22">
        <v>0</v>
      </c>
      <c r="F129" s="22">
        <v>12</v>
      </c>
      <c r="G129" s="22">
        <v>0</v>
      </c>
      <c r="H129" s="55">
        <v>0</v>
      </c>
      <c r="I129" s="55">
        <v>0</v>
      </c>
      <c r="J129" s="55">
        <v>0.13</v>
      </c>
      <c r="K129" s="55">
        <v>0.13</v>
      </c>
      <c r="L129" s="55">
        <v>0</v>
      </c>
      <c r="M129" s="55">
        <v>0</v>
      </c>
      <c r="N129" s="55"/>
    </row>
    <row r="130" spans="1:14">
      <c r="A130" s="55">
        <v>90</v>
      </c>
      <c r="B130" s="55" t="s">
        <v>999</v>
      </c>
      <c r="C130" s="55" t="s">
        <v>20</v>
      </c>
      <c r="D130" s="22">
        <v>12</v>
      </c>
      <c r="E130" s="22">
        <v>0</v>
      </c>
      <c r="F130" s="22">
        <v>12</v>
      </c>
      <c r="G130" s="22">
        <v>0</v>
      </c>
      <c r="H130" s="55">
        <v>0</v>
      </c>
      <c r="I130" s="55">
        <v>0</v>
      </c>
      <c r="J130" s="55">
        <v>0.13</v>
      </c>
      <c r="K130" s="55">
        <v>0.13</v>
      </c>
      <c r="L130" s="55">
        <v>0</v>
      </c>
      <c r="M130" s="55">
        <v>0</v>
      </c>
      <c r="N130" s="55"/>
    </row>
    <row r="131" spans="1:14" hidden="1">
      <c r="A131" s="55">
        <v>91</v>
      </c>
      <c r="B131" s="55" t="s">
        <v>577</v>
      </c>
      <c r="C131" s="55" t="s">
        <v>19</v>
      </c>
      <c r="D131" s="22">
        <v>11</v>
      </c>
      <c r="E131" s="22">
        <v>13</v>
      </c>
      <c r="F131" s="22">
        <v>11</v>
      </c>
      <c r="G131" s="22">
        <v>13</v>
      </c>
      <c r="H131" s="55">
        <v>-15.38</v>
      </c>
      <c r="I131" s="55">
        <v>-15.38</v>
      </c>
      <c r="J131" s="55">
        <v>0.12</v>
      </c>
      <c r="K131" s="55">
        <v>0.12</v>
      </c>
      <c r="L131" s="55">
        <v>0.17</v>
      </c>
      <c r="M131" s="55">
        <v>0.17</v>
      </c>
      <c r="N131" s="55"/>
    </row>
    <row r="132" spans="1:14" hidden="1">
      <c r="A132" s="55">
        <v>92</v>
      </c>
      <c r="B132" s="55" t="s">
        <v>164</v>
      </c>
      <c r="C132" s="55" t="s">
        <v>19</v>
      </c>
      <c r="D132" s="22">
        <v>11</v>
      </c>
      <c r="E132" s="22">
        <v>9</v>
      </c>
      <c r="F132" s="22">
        <v>11</v>
      </c>
      <c r="G132" s="22">
        <v>9</v>
      </c>
      <c r="H132" s="55">
        <v>22.22</v>
      </c>
      <c r="I132" s="55">
        <v>22.22</v>
      </c>
      <c r="J132" s="55">
        <v>0.12</v>
      </c>
      <c r="K132" s="55">
        <v>0.12</v>
      </c>
      <c r="L132" s="55">
        <v>0.12</v>
      </c>
      <c r="M132" s="55">
        <v>0.12</v>
      </c>
      <c r="N132" s="55"/>
    </row>
    <row r="133" spans="1:14" hidden="1">
      <c r="A133" s="55">
        <v>93</v>
      </c>
      <c r="B133" s="55" t="s">
        <v>1065</v>
      </c>
      <c r="C133" s="55" t="s">
        <v>19</v>
      </c>
      <c r="D133" s="22">
        <v>11</v>
      </c>
      <c r="E133" s="22">
        <v>0</v>
      </c>
      <c r="F133" s="22">
        <v>11</v>
      </c>
      <c r="G133" s="22">
        <v>0</v>
      </c>
      <c r="H133" s="55">
        <v>0</v>
      </c>
      <c r="I133" s="55">
        <v>0</v>
      </c>
      <c r="J133" s="55">
        <v>0.12</v>
      </c>
      <c r="K133" s="55">
        <v>0.12</v>
      </c>
      <c r="L133" s="55">
        <v>0</v>
      </c>
      <c r="M133" s="55">
        <v>0</v>
      </c>
      <c r="N133" s="55"/>
    </row>
    <row r="134" spans="1:14">
      <c r="A134" s="55">
        <v>94</v>
      </c>
      <c r="B134" s="55" t="s">
        <v>1091</v>
      </c>
      <c r="C134" s="55" t="s">
        <v>20</v>
      </c>
      <c r="D134" s="22">
        <v>11</v>
      </c>
      <c r="E134" s="22">
        <v>0</v>
      </c>
      <c r="F134" s="22">
        <v>11</v>
      </c>
      <c r="G134" s="22">
        <v>0</v>
      </c>
      <c r="H134" s="55">
        <v>0</v>
      </c>
      <c r="I134" s="55">
        <v>0</v>
      </c>
      <c r="J134" s="55">
        <v>0.12</v>
      </c>
      <c r="K134" s="55">
        <v>0.12</v>
      </c>
      <c r="L134" s="55">
        <v>0</v>
      </c>
      <c r="M134" s="55">
        <v>0</v>
      </c>
      <c r="N134" s="55"/>
    </row>
    <row r="135" spans="1:14">
      <c r="A135" s="55">
        <v>95</v>
      </c>
      <c r="B135" s="55" t="s">
        <v>636</v>
      </c>
      <c r="C135" s="55" t="s">
        <v>20</v>
      </c>
      <c r="D135" s="22">
        <v>9</v>
      </c>
      <c r="E135" s="22">
        <v>38</v>
      </c>
      <c r="F135" s="22">
        <v>9</v>
      </c>
      <c r="G135" s="22">
        <v>38</v>
      </c>
      <c r="H135" s="55">
        <v>-76.319999999999993</v>
      </c>
      <c r="I135" s="55">
        <v>-76.319999999999993</v>
      </c>
      <c r="J135" s="55">
        <v>0.1</v>
      </c>
      <c r="K135" s="55">
        <v>0.1</v>
      </c>
      <c r="L135" s="55">
        <v>0.5</v>
      </c>
      <c r="M135" s="55">
        <v>0.5</v>
      </c>
      <c r="N135" s="55"/>
    </row>
    <row r="136" spans="1:14" hidden="1">
      <c r="A136" s="55">
        <v>96</v>
      </c>
      <c r="B136" s="55" t="s">
        <v>146</v>
      </c>
      <c r="C136" s="55" t="s">
        <v>19</v>
      </c>
      <c r="D136" s="22">
        <v>9</v>
      </c>
      <c r="E136" s="22">
        <v>11</v>
      </c>
      <c r="F136" s="22">
        <v>9</v>
      </c>
      <c r="G136" s="22">
        <v>11</v>
      </c>
      <c r="H136" s="55">
        <v>-18.18</v>
      </c>
      <c r="I136" s="55">
        <v>-18.18</v>
      </c>
      <c r="J136" s="55">
        <v>0.1</v>
      </c>
      <c r="K136" s="55">
        <v>0.1</v>
      </c>
      <c r="L136" s="55">
        <v>0.14000000000000001</v>
      </c>
      <c r="M136" s="55">
        <v>0.14000000000000001</v>
      </c>
      <c r="N136" s="55"/>
    </row>
    <row r="137" spans="1:14" hidden="1">
      <c r="A137" s="55">
        <v>97</v>
      </c>
      <c r="B137" s="55" t="s">
        <v>220</v>
      </c>
      <c r="C137" s="55" t="s">
        <v>19</v>
      </c>
      <c r="D137" s="22">
        <v>9</v>
      </c>
      <c r="E137" s="22">
        <v>0</v>
      </c>
      <c r="F137" s="22">
        <v>9</v>
      </c>
      <c r="G137" s="22">
        <v>0</v>
      </c>
      <c r="H137" s="55">
        <v>0</v>
      </c>
      <c r="I137" s="55">
        <v>0</v>
      </c>
      <c r="J137" s="55">
        <v>0.1</v>
      </c>
      <c r="K137" s="55">
        <v>0.1</v>
      </c>
      <c r="L137" s="55">
        <v>0</v>
      </c>
      <c r="M137" s="55">
        <v>0</v>
      </c>
      <c r="N137" s="55"/>
    </row>
    <row r="138" spans="1:14">
      <c r="A138" s="55">
        <v>98</v>
      </c>
      <c r="B138" s="55" t="s">
        <v>1000</v>
      </c>
      <c r="C138" s="55" t="s">
        <v>20</v>
      </c>
      <c r="D138" s="22">
        <v>9</v>
      </c>
      <c r="E138" s="22">
        <v>0</v>
      </c>
      <c r="F138" s="22">
        <v>9</v>
      </c>
      <c r="G138" s="22">
        <v>0</v>
      </c>
      <c r="H138" s="55">
        <v>0</v>
      </c>
      <c r="I138" s="55">
        <v>0</v>
      </c>
      <c r="J138" s="55">
        <v>0.1</v>
      </c>
      <c r="K138" s="55">
        <v>0.1</v>
      </c>
      <c r="L138" s="55">
        <v>0</v>
      </c>
      <c r="M138" s="55">
        <v>0</v>
      </c>
      <c r="N138" s="55"/>
    </row>
    <row r="139" spans="1:14" hidden="1">
      <c r="A139" s="55">
        <v>99</v>
      </c>
      <c r="B139" s="55" t="s">
        <v>457</v>
      </c>
      <c r="C139" s="55" t="s">
        <v>19</v>
      </c>
      <c r="D139" s="22">
        <v>9</v>
      </c>
      <c r="E139" s="22">
        <v>0</v>
      </c>
      <c r="F139" s="22">
        <v>9</v>
      </c>
      <c r="G139" s="22">
        <v>0</v>
      </c>
      <c r="H139" s="55">
        <v>0</v>
      </c>
      <c r="I139" s="55">
        <v>0</v>
      </c>
      <c r="J139" s="55">
        <v>0.1</v>
      </c>
      <c r="K139" s="55">
        <v>0.1</v>
      </c>
      <c r="L139" s="55">
        <v>0</v>
      </c>
      <c r="M139" s="55">
        <v>0</v>
      </c>
      <c r="N139" s="55"/>
    </row>
    <row r="140" spans="1:14" hidden="1">
      <c r="A140" s="55">
        <v>100</v>
      </c>
      <c r="B140" s="55" t="s">
        <v>550</v>
      </c>
      <c r="C140" s="55" t="s">
        <v>19</v>
      </c>
      <c r="D140" s="22">
        <v>8</v>
      </c>
      <c r="E140" s="22">
        <v>10</v>
      </c>
      <c r="F140" s="22">
        <v>8</v>
      </c>
      <c r="G140" s="22">
        <v>10</v>
      </c>
      <c r="H140" s="55">
        <v>-20</v>
      </c>
      <c r="I140" s="55">
        <v>-20</v>
      </c>
      <c r="J140" s="55">
        <v>0.09</v>
      </c>
      <c r="K140" s="55">
        <v>0.09</v>
      </c>
      <c r="L140" s="55">
        <v>0.13</v>
      </c>
      <c r="M140" s="55">
        <v>0.13</v>
      </c>
      <c r="N140" s="55"/>
    </row>
    <row r="141" spans="1:14">
      <c r="A141" s="55">
        <v>101</v>
      </c>
      <c r="B141" s="55" t="s">
        <v>592</v>
      </c>
      <c r="C141" s="55" t="s">
        <v>20</v>
      </c>
      <c r="D141" s="22">
        <v>8</v>
      </c>
      <c r="E141" s="22">
        <v>0</v>
      </c>
      <c r="F141" s="22">
        <v>8</v>
      </c>
      <c r="G141" s="22">
        <v>0</v>
      </c>
      <c r="H141" s="55">
        <v>0</v>
      </c>
      <c r="I141" s="55">
        <v>0</v>
      </c>
      <c r="J141" s="55">
        <v>0.09</v>
      </c>
      <c r="K141" s="55">
        <v>0.09</v>
      </c>
      <c r="L141" s="55">
        <v>0</v>
      </c>
      <c r="M141" s="55">
        <v>0</v>
      </c>
      <c r="N141" s="55"/>
    </row>
    <row r="142" spans="1:14" hidden="1">
      <c r="A142" s="55">
        <v>102</v>
      </c>
      <c r="B142" s="55" t="s">
        <v>354</v>
      </c>
      <c r="C142" s="55" t="s">
        <v>19</v>
      </c>
      <c r="D142" s="22">
        <v>7</v>
      </c>
      <c r="E142" s="22">
        <v>57</v>
      </c>
      <c r="F142" s="22">
        <v>7</v>
      </c>
      <c r="G142" s="22">
        <v>57</v>
      </c>
      <c r="H142" s="55">
        <v>-87.72</v>
      </c>
      <c r="I142" s="55">
        <v>-87.72</v>
      </c>
      <c r="J142" s="55">
        <v>0.08</v>
      </c>
      <c r="K142" s="55">
        <v>0.08</v>
      </c>
      <c r="L142" s="55">
        <v>0.75</v>
      </c>
      <c r="M142" s="55">
        <v>0.75</v>
      </c>
      <c r="N142" s="55"/>
    </row>
    <row r="143" spans="1:14">
      <c r="A143" s="55">
        <v>103</v>
      </c>
      <c r="B143" s="55" t="s">
        <v>1121</v>
      </c>
      <c r="C143" s="55" t="s">
        <v>20</v>
      </c>
      <c r="D143" s="22">
        <v>7</v>
      </c>
      <c r="E143" s="22">
        <v>0</v>
      </c>
      <c r="F143" s="22">
        <v>7</v>
      </c>
      <c r="G143" s="22">
        <v>0</v>
      </c>
      <c r="H143" s="55">
        <v>0</v>
      </c>
      <c r="I143" s="55">
        <v>0</v>
      </c>
      <c r="J143" s="55">
        <v>0.08</v>
      </c>
      <c r="K143" s="55">
        <v>0.08</v>
      </c>
      <c r="L143" s="55">
        <v>0</v>
      </c>
      <c r="M143" s="55">
        <v>0</v>
      </c>
      <c r="N143" s="55"/>
    </row>
    <row r="144" spans="1:14">
      <c r="A144" s="55">
        <v>104</v>
      </c>
      <c r="B144" s="55" t="s">
        <v>995</v>
      </c>
      <c r="C144" s="55" t="s">
        <v>20</v>
      </c>
      <c r="D144" s="22">
        <v>7</v>
      </c>
      <c r="E144" s="22">
        <v>0</v>
      </c>
      <c r="F144" s="22">
        <v>7</v>
      </c>
      <c r="G144" s="22">
        <v>0</v>
      </c>
      <c r="H144" s="55">
        <v>0</v>
      </c>
      <c r="I144" s="55">
        <v>0</v>
      </c>
      <c r="J144" s="55">
        <v>0.08</v>
      </c>
      <c r="K144" s="55">
        <v>0.08</v>
      </c>
      <c r="L144" s="55">
        <v>0</v>
      </c>
      <c r="M144" s="55">
        <v>0</v>
      </c>
      <c r="N144" s="55"/>
    </row>
    <row r="145" spans="1:14" hidden="1">
      <c r="A145" s="55">
        <v>105</v>
      </c>
      <c r="B145" s="55" t="s">
        <v>1117</v>
      </c>
      <c r="C145" s="55" t="s">
        <v>19</v>
      </c>
      <c r="D145" s="22">
        <v>7</v>
      </c>
      <c r="E145" s="22">
        <v>0</v>
      </c>
      <c r="F145" s="22">
        <v>7</v>
      </c>
      <c r="G145" s="22">
        <v>0</v>
      </c>
      <c r="H145" s="55">
        <v>0</v>
      </c>
      <c r="I145" s="55">
        <v>0</v>
      </c>
      <c r="J145" s="55">
        <v>0.08</v>
      </c>
      <c r="K145" s="55">
        <v>0.08</v>
      </c>
      <c r="L145" s="55">
        <v>0</v>
      </c>
      <c r="M145" s="55">
        <v>0</v>
      </c>
      <c r="N145" s="55"/>
    </row>
    <row r="146" spans="1:14" hidden="1">
      <c r="A146" s="55">
        <v>106</v>
      </c>
      <c r="B146" s="55" t="s">
        <v>404</v>
      </c>
      <c r="C146" s="55" t="s">
        <v>19</v>
      </c>
      <c r="D146" s="22">
        <v>6</v>
      </c>
      <c r="E146" s="22">
        <v>84</v>
      </c>
      <c r="F146" s="22">
        <v>6</v>
      </c>
      <c r="G146" s="22">
        <v>84</v>
      </c>
      <c r="H146" s="55">
        <v>-92.86</v>
      </c>
      <c r="I146" s="55">
        <v>-92.86</v>
      </c>
      <c r="J146" s="55">
        <v>7.0000000000000007E-2</v>
      </c>
      <c r="K146" s="55">
        <v>7.0000000000000007E-2</v>
      </c>
      <c r="L146" s="55">
        <v>1.1000000000000001</v>
      </c>
      <c r="M146" s="55">
        <v>1.1000000000000001</v>
      </c>
      <c r="N146" s="55"/>
    </row>
    <row r="147" spans="1:14">
      <c r="A147" s="55">
        <v>107</v>
      </c>
      <c r="B147" s="55" t="s">
        <v>541</v>
      </c>
      <c r="C147" s="55" t="s">
        <v>20</v>
      </c>
      <c r="D147" s="22">
        <v>6</v>
      </c>
      <c r="E147" s="22">
        <v>49</v>
      </c>
      <c r="F147" s="22">
        <v>6</v>
      </c>
      <c r="G147" s="22">
        <v>49</v>
      </c>
      <c r="H147" s="55">
        <v>-87.76</v>
      </c>
      <c r="I147" s="55">
        <v>-87.76</v>
      </c>
      <c r="J147" s="55">
        <v>7.0000000000000007E-2</v>
      </c>
      <c r="K147" s="55">
        <v>7.0000000000000007E-2</v>
      </c>
      <c r="L147" s="55">
        <v>0.64</v>
      </c>
      <c r="M147" s="55">
        <v>0.64</v>
      </c>
      <c r="N147" s="55"/>
    </row>
    <row r="148" spans="1:14">
      <c r="A148" s="55">
        <v>108</v>
      </c>
      <c r="B148" s="55" t="s">
        <v>132</v>
      </c>
      <c r="C148" s="55" t="s">
        <v>20</v>
      </c>
      <c r="D148" s="22">
        <v>6</v>
      </c>
      <c r="E148" s="22">
        <v>20</v>
      </c>
      <c r="F148" s="22">
        <v>6</v>
      </c>
      <c r="G148" s="22">
        <v>20</v>
      </c>
      <c r="H148" s="55">
        <v>-70</v>
      </c>
      <c r="I148" s="55">
        <v>-70</v>
      </c>
      <c r="J148" s="55">
        <v>7.0000000000000007E-2</v>
      </c>
      <c r="K148" s="55">
        <v>7.0000000000000007E-2</v>
      </c>
      <c r="L148" s="55">
        <v>0.26</v>
      </c>
      <c r="M148" s="55">
        <v>0.26</v>
      </c>
      <c r="N148" s="55"/>
    </row>
    <row r="149" spans="1:14" hidden="1">
      <c r="A149" s="55">
        <v>109</v>
      </c>
      <c r="B149" s="55" t="s">
        <v>385</v>
      </c>
      <c r="C149" s="55" t="s">
        <v>19</v>
      </c>
      <c r="D149" s="22">
        <v>6</v>
      </c>
      <c r="E149" s="22">
        <v>7</v>
      </c>
      <c r="F149" s="22">
        <v>6</v>
      </c>
      <c r="G149" s="22">
        <v>7</v>
      </c>
      <c r="H149" s="55">
        <v>-14.29</v>
      </c>
      <c r="I149" s="55">
        <v>-14.29</v>
      </c>
      <c r="J149" s="55">
        <v>7.0000000000000007E-2</v>
      </c>
      <c r="K149" s="55">
        <v>7.0000000000000007E-2</v>
      </c>
      <c r="L149" s="55">
        <v>0.09</v>
      </c>
      <c r="M149" s="55">
        <v>0.09</v>
      </c>
      <c r="N149" s="55"/>
    </row>
    <row r="150" spans="1:14" hidden="1">
      <c r="A150" s="55">
        <v>110</v>
      </c>
      <c r="B150" s="55" t="s">
        <v>560</v>
      </c>
      <c r="C150" s="55" t="s">
        <v>19</v>
      </c>
      <c r="D150" s="22">
        <v>6</v>
      </c>
      <c r="E150" s="22">
        <v>5</v>
      </c>
      <c r="F150" s="22">
        <v>6</v>
      </c>
      <c r="G150" s="22">
        <v>5</v>
      </c>
      <c r="H150" s="55">
        <v>20</v>
      </c>
      <c r="I150" s="55">
        <v>20</v>
      </c>
      <c r="J150" s="55">
        <v>7.0000000000000007E-2</v>
      </c>
      <c r="K150" s="55">
        <v>7.0000000000000007E-2</v>
      </c>
      <c r="L150" s="55">
        <v>7.0000000000000007E-2</v>
      </c>
      <c r="M150" s="55">
        <v>7.0000000000000007E-2</v>
      </c>
      <c r="N150" s="55"/>
    </row>
    <row r="151" spans="1:14" hidden="1">
      <c r="A151" s="55">
        <v>111</v>
      </c>
      <c r="B151" s="55" t="s">
        <v>1020</v>
      </c>
      <c r="C151" s="55" t="s">
        <v>19</v>
      </c>
      <c r="D151" s="22">
        <v>6</v>
      </c>
      <c r="E151" s="22">
        <v>0</v>
      </c>
      <c r="F151" s="22">
        <v>6</v>
      </c>
      <c r="G151" s="22">
        <v>0</v>
      </c>
      <c r="H151" s="55">
        <v>0</v>
      </c>
      <c r="I151" s="55">
        <v>0</v>
      </c>
      <c r="J151" s="55">
        <v>7.0000000000000007E-2</v>
      </c>
      <c r="K151" s="55">
        <v>7.0000000000000007E-2</v>
      </c>
      <c r="L151" s="55">
        <v>0</v>
      </c>
      <c r="M151" s="55">
        <v>0</v>
      </c>
      <c r="N151" s="55"/>
    </row>
    <row r="152" spans="1:14" hidden="1">
      <c r="A152" s="55">
        <v>112</v>
      </c>
      <c r="B152" s="55" t="s">
        <v>1001</v>
      </c>
      <c r="C152" s="55" t="s">
        <v>19</v>
      </c>
      <c r="D152" s="22">
        <v>6</v>
      </c>
      <c r="E152" s="22">
        <v>0</v>
      </c>
      <c r="F152" s="22">
        <v>6</v>
      </c>
      <c r="G152" s="22">
        <v>0</v>
      </c>
      <c r="H152" s="62">
        <v>0</v>
      </c>
      <c r="I152" s="62">
        <v>0</v>
      </c>
      <c r="J152" s="55">
        <v>7.0000000000000007E-2</v>
      </c>
      <c r="K152" s="55">
        <v>7.0000000000000007E-2</v>
      </c>
      <c r="L152" s="55">
        <v>0</v>
      </c>
      <c r="M152" s="55">
        <v>0</v>
      </c>
      <c r="N152" s="55"/>
    </row>
    <row r="153" spans="1:14" hidden="1">
      <c r="A153" s="55">
        <v>113</v>
      </c>
      <c r="B153" s="55" t="s">
        <v>549</v>
      </c>
      <c r="C153" s="55" t="s">
        <v>19</v>
      </c>
      <c r="D153" s="22">
        <v>6</v>
      </c>
      <c r="E153" s="22">
        <v>0</v>
      </c>
      <c r="F153" s="22">
        <v>6</v>
      </c>
      <c r="G153" s="22">
        <v>0</v>
      </c>
      <c r="H153" s="55">
        <v>0</v>
      </c>
      <c r="I153" s="55">
        <v>0</v>
      </c>
      <c r="J153" s="55">
        <v>7.0000000000000007E-2</v>
      </c>
      <c r="K153" s="55">
        <v>7.0000000000000007E-2</v>
      </c>
      <c r="L153" s="55">
        <v>0</v>
      </c>
      <c r="M153" s="55">
        <v>0</v>
      </c>
      <c r="N153" s="55"/>
    </row>
    <row r="154" spans="1:14">
      <c r="A154" s="55">
        <v>114</v>
      </c>
      <c r="B154" s="55" t="s">
        <v>631</v>
      </c>
      <c r="C154" s="55" t="s">
        <v>20</v>
      </c>
      <c r="D154" s="22">
        <v>5</v>
      </c>
      <c r="E154" s="22">
        <v>57</v>
      </c>
      <c r="F154" s="22">
        <v>5</v>
      </c>
      <c r="G154" s="22">
        <v>57</v>
      </c>
      <c r="H154" s="55">
        <v>-91.23</v>
      </c>
      <c r="I154" s="55">
        <v>-91.23</v>
      </c>
      <c r="J154" s="55">
        <v>0.06</v>
      </c>
      <c r="K154" s="55">
        <v>0.06</v>
      </c>
      <c r="L154" s="55">
        <v>0.75</v>
      </c>
      <c r="M154" s="55">
        <v>0.75</v>
      </c>
      <c r="N154" s="55"/>
    </row>
    <row r="155" spans="1:14">
      <c r="A155" s="55">
        <v>115</v>
      </c>
      <c r="B155" s="55" t="s">
        <v>98</v>
      </c>
      <c r="C155" s="55" t="s">
        <v>20</v>
      </c>
      <c r="D155" s="22">
        <v>5</v>
      </c>
      <c r="E155" s="22">
        <v>57</v>
      </c>
      <c r="F155" s="22">
        <v>5</v>
      </c>
      <c r="G155" s="22">
        <v>57</v>
      </c>
      <c r="H155" s="55">
        <v>-91.23</v>
      </c>
      <c r="I155" s="55">
        <v>-91.23</v>
      </c>
      <c r="J155" s="55">
        <v>0.06</v>
      </c>
      <c r="K155" s="55">
        <v>0.06</v>
      </c>
      <c r="L155" s="55">
        <v>0.75</v>
      </c>
      <c r="M155" s="55">
        <v>0.75</v>
      </c>
      <c r="N155" s="55"/>
    </row>
    <row r="156" spans="1:14">
      <c r="A156" s="55">
        <v>116</v>
      </c>
      <c r="B156" s="55" t="s">
        <v>381</v>
      </c>
      <c r="C156" s="55" t="s">
        <v>20</v>
      </c>
      <c r="D156" s="22">
        <v>5</v>
      </c>
      <c r="E156" s="22">
        <v>48</v>
      </c>
      <c r="F156" s="22">
        <v>5</v>
      </c>
      <c r="G156" s="22">
        <v>48</v>
      </c>
      <c r="H156" s="55">
        <v>-89.58</v>
      </c>
      <c r="I156" s="55">
        <v>-89.58</v>
      </c>
      <c r="J156" s="55">
        <v>0.06</v>
      </c>
      <c r="K156" s="55">
        <v>0.06</v>
      </c>
      <c r="L156" s="55">
        <v>0.63</v>
      </c>
      <c r="M156" s="55">
        <v>0.63</v>
      </c>
      <c r="N156" s="55"/>
    </row>
    <row r="157" spans="1:14">
      <c r="A157" s="55">
        <v>117</v>
      </c>
      <c r="B157" s="55" t="s">
        <v>953</v>
      </c>
      <c r="C157" s="55" t="s">
        <v>20</v>
      </c>
      <c r="D157" s="22">
        <v>5</v>
      </c>
      <c r="E157" s="22">
        <v>7</v>
      </c>
      <c r="F157" s="22">
        <v>5</v>
      </c>
      <c r="G157" s="22">
        <v>7</v>
      </c>
      <c r="H157" s="55">
        <v>-28.57</v>
      </c>
      <c r="I157" s="55">
        <v>-28.57</v>
      </c>
      <c r="J157" s="55">
        <v>0.06</v>
      </c>
      <c r="K157" s="55">
        <v>0.06</v>
      </c>
      <c r="L157" s="55">
        <v>0.09</v>
      </c>
      <c r="M157" s="55">
        <v>0.09</v>
      </c>
      <c r="N157" s="55"/>
    </row>
    <row r="158" spans="1:14">
      <c r="A158" s="55">
        <v>118</v>
      </c>
      <c r="B158" s="55" t="s">
        <v>933</v>
      </c>
      <c r="C158" s="55" t="s">
        <v>20</v>
      </c>
      <c r="D158" s="22">
        <v>5</v>
      </c>
      <c r="E158" s="22">
        <v>1</v>
      </c>
      <c r="F158" s="22">
        <v>5</v>
      </c>
      <c r="G158" s="22">
        <v>1</v>
      </c>
      <c r="H158" s="55">
        <v>400</v>
      </c>
      <c r="I158" s="55">
        <v>400</v>
      </c>
      <c r="J158" s="55">
        <v>0.06</v>
      </c>
      <c r="K158" s="55">
        <v>0.06</v>
      </c>
      <c r="L158" s="55">
        <v>0.01</v>
      </c>
      <c r="M158" s="55">
        <v>0.01</v>
      </c>
      <c r="N158" s="55"/>
    </row>
    <row r="159" spans="1:14" hidden="1">
      <c r="A159" s="55">
        <v>119</v>
      </c>
      <c r="B159" s="55" t="s">
        <v>1013</v>
      </c>
      <c r="C159" s="55" t="s">
        <v>19</v>
      </c>
      <c r="D159" s="22">
        <v>5</v>
      </c>
      <c r="E159" s="22">
        <v>0</v>
      </c>
      <c r="F159" s="22">
        <v>5</v>
      </c>
      <c r="G159" s="22">
        <v>0</v>
      </c>
      <c r="H159" s="55">
        <v>0</v>
      </c>
      <c r="I159" s="55">
        <v>0</v>
      </c>
      <c r="J159" s="55">
        <v>0.06</v>
      </c>
      <c r="K159" s="55">
        <v>0.06</v>
      </c>
      <c r="L159" s="55">
        <v>0</v>
      </c>
      <c r="M159" s="55">
        <v>0</v>
      </c>
      <c r="N159" s="55"/>
    </row>
    <row r="160" spans="1:14">
      <c r="A160" s="55">
        <v>120</v>
      </c>
      <c r="B160" s="55" t="s">
        <v>1022</v>
      </c>
      <c r="C160" s="55" t="s">
        <v>20</v>
      </c>
      <c r="D160" s="22">
        <v>5</v>
      </c>
      <c r="E160" s="22">
        <v>0</v>
      </c>
      <c r="F160" s="22">
        <v>5</v>
      </c>
      <c r="G160" s="22">
        <v>0</v>
      </c>
      <c r="H160" s="55">
        <v>0</v>
      </c>
      <c r="I160" s="55">
        <v>0</v>
      </c>
      <c r="J160" s="55">
        <v>0.06</v>
      </c>
      <c r="K160" s="55">
        <v>0.06</v>
      </c>
      <c r="L160" s="55">
        <v>0</v>
      </c>
      <c r="M160" s="55">
        <v>0</v>
      </c>
      <c r="N160" s="55"/>
    </row>
    <row r="161" spans="1:14">
      <c r="A161" s="55">
        <v>121</v>
      </c>
      <c r="B161" s="55" t="s">
        <v>531</v>
      </c>
      <c r="C161" s="55" t="s">
        <v>20</v>
      </c>
      <c r="D161" s="22">
        <v>5</v>
      </c>
      <c r="E161" s="22">
        <v>0</v>
      </c>
      <c r="F161" s="22">
        <v>5</v>
      </c>
      <c r="G161" s="22">
        <v>0</v>
      </c>
      <c r="H161" s="55">
        <v>0</v>
      </c>
      <c r="I161" s="55">
        <v>0</v>
      </c>
      <c r="J161" s="55">
        <v>0.06</v>
      </c>
      <c r="K161" s="55">
        <v>0.06</v>
      </c>
      <c r="L161" s="55">
        <v>0</v>
      </c>
      <c r="M161" s="55">
        <v>0</v>
      </c>
      <c r="N161" s="55"/>
    </row>
    <row r="162" spans="1:14">
      <c r="A162" s="55">
        <v>122</v>
      </c>
      <c r="B162" s="55" t="s">
        <v>584</v>
      </c>
      <c r="C162" s="55" t="s">
        <v>20</v>
      </c>
      <c r="D162" s="22">
        <v>4</v>
      </c>
      <c r="E162" s="22">
        <v>55</v>
      </c>
      <c r="F162" s="22">
        <v>4</v>
      </c>
      <c r="G162" s="22">
        <v>55</v>
      </c>
      <c r="H162" s="55">
        <v>-92.73</v>
      </c>
      <c r="I162" s="55">
        <v>-92.73</v>
      </c>
      <c r="J162" s="55">
        <v>0.04</v>
      </c>
      <c r="K162" s="55">
        <v>0.04</v>
      </c>
      <c r="L162" s="55">
        <v>0.72</v>
      </c>
      <c r="M162" s="55">
        <v>0.72</v>
      </c>
      <c r="N162" s="55"/>
    </row>
    <row r="163" spans="1:14">
      <c r="A163" s="55">
        <v>123</v>
      </c>
      <c r="B163" s="55" t="s">
        <v>406</v>
      </c>
      <c r="C163" s="55" t="s">
        <v>20</v>
      </c>
      <c r="D163" s="22">
        <v>4</v>
      </c>
      <c r="E163" s="22">
        <v>4</v>
      </c>
      <c r="F163" s="22">
        <v>4</v>
      </c>
      <c r="G163" s="22">
        <v>4</v>
      </c>
      <c r="H163" s="55">
        <v>0</v>
      </c>
      <c r="I163" s="55">
        <v>0</v>
      </c>
      <c r="J163" s="55">
        <v>0.04</v>
      </c>
      <c r="K163" s="55">
        <v>0.04</v>
      </c>
      <c r="L163" s="55">
        <v>0.05</v>
      </c>
      <c r="M163" s="55">
        <v>0.05</v>
      </c>
      <c r="N163" s="55"/>
    </row>
    <row r="164" spans="1:14" hidden="1">
      <c r="A164" s="55">
        <v>124</v>
      </c>
      <c r="B164" s="55" t="s">
        <v>632</v>
      </c>
      <c r="C164" s="55" t="s">
        <v>19</v>
      </c>
      <c r="D164" s="22">
        <v>4</v>
      </c>
      <c r="E164" s="22">
        <v>1</v>
      </c>
      <c r="F164" s="22">
        <v>4</v>
      </c>
      <c r="G164" s="22">
        <v>1</v>
      </c>
      <c r="H164" s="55">
        <v>300</v>
      </c>
      <c r="I164" s="55">
        <v>300</v>
      </c>
      <c r="J164" s="55">
        <v>0.04</v>
      </c>
      <c r="K164" s="55">
        <v>0.04</v>
      </c>
      <c r="L164" s="55">
        <v>0.01</v>
      </c>
      <c r="M164" s="55">
        <v>0.01</v>
      </c>
      <c r="N164" s="55"/>
    </row>
    <row r="165" spans="1:14" hidden="1">
      <c r="A165" s="55">
        <v>125</v>
      </c>
      <c r="B165" s="55" t="s">
        <v>460</v>
      </c>
      <c r="C165" s="55" t="s">
        <v>19</v>
      </c>
      <c r="D165" s="22">
        <v>4</v>
      </c>
      <c r="E165" s="22">
        <v>1</v>
      </c>
      <c r="F165" s="22">
        <v>4</v>
      </c>
      <c r="G165" s="22">
        <v>1</v>
      </c>
      <c r="H165" s="55">
        <v>300</v>
      </c>
      <c r="I165" s="55">
        <v>300</v>
      </c>
      <c r="J165" s="55">
        <v>0.04</v>
      </c>
      <c r="K165" s="55">
        <v>0.04</v>
      </c>
      <c r="L165" s="55">
        <v>0.01</v>
      </c>
      <c r="M165" s="55">
        <v>0.01</v>
      </c>
      <c r="N165" s="55"/>
    </row>
    <row r="166" spans="1:14">
      <c r="A166" s="55">
        <v>126</v>
      </c>
      <c r="B166" s="55" t="s">
        <v>1014</v>
      </c>
      <c r="C166" s="55" t="s">
        <v>20</v>
      </c>
      <c r="D166" s="22">
        <v>4</v>
      </c>
      <c r="E166" s="22">
        <v>0</v>
      </c>
      <c r="F166" s="22">
        <v>4</v>
      </c>
      <c r="G166" s="22">
        <v>0</v>
      </c>
      <c r="H166" s="55">
        <v>0</v>
      </c>
      <c r="I166" s="55">
        <v>0</v>
      </c>
      <c r="J166" s="55">
        <v>0.04</v>
      </c>
      <c r="K166" s="55">
        <v>0.04</v>
      </c>
      <c r="L166" s="55">
        <v>0</v>
      </c>
      <c r="M166" s="55">
        <v>0</v>
      </c>
      <c r="N166" s="55"/>
    </row>
    <row r="167" spans="1:14" hidden="1">
      <c r="A167" s="55">
        <v>127</v>
      </c>
      <c r="B167" s="55" t="s">
        <v>956</v>
      </c>
      <c r="C167" s="55" t="s">
        <v>19</v>
      </c>
      <c r="D167" s="22">
        <v>4</v>
      </c>
      <c r="E167" s="22">
        <v>0</v>
      </c>
      <c r="F167" s="22">
        <v>4</v>
      </c>
      <c r="G167" s="22">
        <v>0</v>
      </c>
      <c r="H167" s="55">
        <v>0</v>
      </c>
      <c r="I167" s="55">
        <v>0</v>
      </c>
      <c r="J167" s="55">
        <v>0.04</v>
      </c>
      <c r="K167" s="55">
        <v>0.04</v>
      </c>
      <c r="L167" s="55">
        <v>0</v>
      </c>
      <c r="M167" s="55">
        <v>0</v>
      </c>
      <c r="N167" s="55"/>
    </row>
    <row r="168" spans="1:14" hidden="1">
      <c r="A168" s="55">
        <v>128</v>
      </c>
      <c r="B168" s="55" t="s">
        <v>393</v>
      </c>
      <c r="C168" s="55" t="s">
        <v>19</v>
      </c>
      <c r="D168" s="22">
        <v>4</v>
      </c>
      <c r="E168" s="22">
        <v>0</v>
      </c>
      <c r="F168" s="22">
        <v>4</v>
      </c>
      <c r="G168" s="22">
        <v>0</v>
      </c>
      <c r="H168" s="55">
        <v>0</v>
      </c>
      <c r="I168" s="55">
        <v>0</v>
      </c>
      <c r="J168" s="55">
        <v>0.04</v>
      </c>
      <c r="K168" s="55">
        <v>0.04</v>
      </c>
      <c r="L168" s="55">
        <v>0</v>
      </c>
      <c r="M168" s="55">
        <v>0</v>
      </c>
      <c r="N168" s="55"/>
    </row>
    <row r="169" spans="1:14" hidden="1">
      <c r="A169" s="55">
        <v>129</v>
      </c>
      <c r="B169" s="55" t="s">
        <v>1061</v>
      </c>
      <c r="C169" s="55" t="s">
        <v>19</v>
      </c>
      <c r="D169" s="22">
        <v>4</v>
      </c>
      <c r="E169" s="22">
        <v>0</v>
      </c>
      <c r="F169" s="22">
        <v>4</v>
      </c>
      <c r="G169" s="22">
        <v>0</v>
      </c>
      <c r="H169" s="55">
        <v>0</v>
      </c>
      <c r="I169" s="55">
        <v>0</v>
      </c>
      <c r="J169" s="55">
        <v>0.04</v>
      </c>
      <c r="K169" s="55">
        <v>0.04</v>
      </c>
      <c r="L169" s="55">
        <v>0</v>
      </c>
      <c r="M169" s="55">
        <v>0</v>
      </c>
      <c r="N169" s="55"/>
    </row>
    <row r="170" spans="1:14">
      <c r="A170" s="55">
        <v>130</v>
      </c>
      <c r="B170" s="55" t="s">
        <v>905</v>
      </c>
      <c r="C170" s="55" t="s">
        <v>20</v>
      </c>
      <c r="D170" s="22">
        <v>3</v>
      </c>
      <c r="E170" s="22">
        <v>13</v>
      </c>
      <c r="F170" s="22">
        <v>3</v>
      </c>
      <c r="G170" s="22">
        <v>13</v>
      </c>
      <c r="H170" s="55">
        <v>-76.92</v>
      </c>
      <c r="I170" s="55">
        <v>-76.92</v>
      </c>
      <c r="J170" s="55">
        <v>0.03</v>
      </c>
      <c r="K170" s="55">
        <v>0.03</v>
      </c>
      <c r="L170" s="55">
        <v>0.17</v>
      </c>
      <c r="M170" s="55">
        <v>0.17</v>
      </c>
      <c r="N170" s="55"/>
    </row>
    <row r="171" spans="1:14">
      <c r="A171" s="55">
        <v>131</v>
      </c>
      <c r="B171" s="55" t="s">
        <v>602</v>
      </c>
      <c r="C171" s="55" t="s">
        <v>20</v>
      </c>
      <c r="D171" s="22">
        <v>3</v>
      </c>
      <c r="E171" s="22">
        <v>11</v>
      </c>
      <c r="F171" s="22">
        <v>3</v>
      </c>
      <c r="G171" s="22">
        <v>11</v>
      </c>
      <c r="H171" s="55">
        <v>-72.73</v>
      </c>
      <c r="I171" s="55">
        <v>-72.73</v>
      </c>
      <c r="J171" s="55">
        <v>0.03</v>
      </c>
      <c r="K171" s="55">
        <v>0.03</v>
      </c>
      <c r="L171" s="55">
        <v>0.14000000000000001</v>
      </c>
      <c r="M171" s="55">
        <v>0.14000000000000001</v>
      </c>
      <c r="N171" s="55"/>
    </row>
    <row r="172" spans="1:14">
      <c r="A172" s="55">
        <v>132</v>
      </c>
      <c r="B172" s="55" t="s">
        <v>946</v>
      </c>
      <c r="C172" s="55" t="s">
        <v>20</v>
      </c>
      <c r="D172" s="22">
        <v>3</v>
      </c>
      <c r="E172" s="22">
        <v>10</v>
      </c>
      <c r="F172" s="22">
        <v>3</v>
      </c>
      <c r="G172" s="22">
        <v>10</v>
      </c>
      <c r="H172" s="55">
        <v>-70</v>
      </c>
      <c r="I172" s="55">
        <v>-70</v>
      </c>
      <c r="J172" s="55">
        <v>0.03</v>
      </c>
      <c r="K172" s="55">
        <v>0.03</v>
      </c>
      <c r="L172" s="55">
        <v>0.13</v>
      </c>
      <c r="M172" s="55">
        <v>0.13</v>
      </c>
      <c r="N172" s="55"/>
    </row>
    <row r="173" spans="1:14">
      <c r="A173" s="55">
        <v>133</v>
      </c>
      <c r="B173" s="55" t="s">
        <v>648</v>
      </c>
      <c r="C173" s="55" t="s">
        <v>20</v>
      </c>
      <c r="D173" s="22">
        <v>3</v>
      </c>
      <c r="E173" s="22">
        <v>2</v>
      </c>
      <c r="F173" s="22">
        <v>3</v>
      </c>
      <c r="G173" s="22">
        <v>2</v>
      </c>
      <c r="H173" s="55">
        <v>50</v>
      </c>
      <c r="I173" s="55">
        <v>50</v>
      </c>
      <c r="J173" s="55">
        <v>0.03</v>
      </c>
      <c r="K173" s="55">
        <v>0.03</v>
      </c>
      <c r="L173" s="55">
        <v>0.03</v>
      </c>
      <c r="M173" s="55">
        <v>0.03</v>
      </c>
      <c r="N173" s="55"/>
    </row>
    <row r="174" spans="1:14">
      <c r="A174" s="55">
        <v>134</v>
      </c>
      <c r="B174" s="55" t="s">
        <v>1066</v>
      </c>
      <c r="C174" s="55" t="s">
        <v>20</v>
      </c>
      <c r="D174" s="22">
        <v>3</v>
      </c>
      <c r="E174" s="22">
        <v>0</v>
      </c>
      <c r="F174" s="22">
        <v>3</v>
      </c>
      <c r="G174" s="22">
        <v>0</v>
      </c>
      <c r="H174" s="55">
        <v>0</v>
      </c>
      <c r="I174" s="55">
        <v>0</v>
      </c>
      <c r="J174" s="55">
        <v>0.03</v>
      </c>
      <c r="K174" s="55">
        <v>0.03</v>
      </c>
      <c r="L174" s="55">
        <v>0</v>
      </c>
      <c r="M174" s="55">
        <v>0</v>
      </c>
      <c r="N174" s="55"/>
    </row>
    <row r="175" spans="1:14">
      <c r="A175" s="55">
        <v>135</v>
      </c>
      <c r="B175" s="55" t="s">
        <v>976</v>
      </c>
      <c r="C175" s="55" t="s">
        <v>20</v>
      </c>
      <c r="D175" s="22">
        <v>2</v>
      </c>
      <c r="E175" s="22">
        <v>8</v>
      </c>
      <c r="F175" s="22">
        <v>2</v>
      </c>
      <c r="G175" s="22">
        <v>8</v>
      </c>
      <c r="H175" s="55">
        <v>-75</v>
      </c>
      <c r="I175" s="55">
        <v>-75</v>
      </c>
      <c r="J175" s="55">
        <v>0.02</v>
      </c>
      <c r="K175" s="55">
        <v>0.02</v>
      </c>
      <c r="L175" s="55">
        <v>0.1</v>
      </c>
      <c r="M175" s="55">
        <v>0.1</v>
      </c>
      <c r="N175" s="55"/>
    </row>
    <row r="176" spans="1:14" hidden="1">
      <c r="A176" s="55">
        <v>136</v>
      </c>
      <c r="B176" s="55" t="s">
        <v>542</v>
      </c>
      <c r="C176" s="55" t="s">
        <v>19</v>
      </c>
      <c r="D176" s="22">
        <v>2</v>
      </c>
      <c r="E176" s="22">
        <v>7</v>
      </c>
      <c r="F176" s="22">
        <v>2</v>
      </c>
      <c r="G176" s="22">
        <v>7</v>
      </c>
      <c r="H176" s="55">
        <v>-71.430000000000007</v>
      </c>
      <c r="I176" s="55">
        <v>-71.430000000000007</v>
      </c>
      <c r="J176" s="55">
        <v>0.02</v>
      </c>
      <c r="K176" s="55">
        <v>0.02</v>
      </c>
      <c r="L176" s="55">
        <v>0.09</v>
      </c>
      <c r="M176" s="55">
        <v>0.09</v>
      </c>
      <c r="N176" s="55"/>
    </row>
    <row r="177" spans="1:14">
      <c r="A177" s="55">
        <v>137</v>
      </c>
      <c r="B177" s="55" t="s">
        <v>597</v>
      </c>
      <c r="C177" s="55" t="s">
        <v>20</v>
      </c>
      <c r="D177" s="22">
        <v>2</v>
      </c>
      <c r="E177" s="22">
        <v>6</v>
      </c>
      <c r="F177" s="22">
        <v>2</v>
      </c>
      <c r="G177" s="22">
        <v>6</v>
      </c>
      <c r="H177" s="55">
        <v>-66.67</v>
      </c>
      <c r="I177" s="55">
        <v>-66.67</v>
      </c>
      <c r="J177" s="55">
        <v>0.02</v>
      </c>
      <c r="K177" s="55">
        <v>0.02</v>
      </c>
      <c r="L177" s="55">
        <v>0.08</v>
      </c>
      <c r="M177" s="55">
        <v>0.08</v>
      </c>
      <c r="N177" s="55"/>
    </row>
    <row r="178" spans="1:14">
      <c r="A178" s="55">
        <v>138</v>
      </c>
      <c r="B178" s="55" t="s">
        <v>517</v>
      </c>
      <c r="C178" s="55" t="s">
        <v>20</v>
      </c>
      <c r="D178" s="22">
        <v>2</v>
      </c>
      <c r="E178" s="22">
        <v>6</v>
      </c>
      <c r="F178" s="22">
        <v>2</v>
      </c>
      <c r="G178" s="22">
        <v>6</v>
      </c>
      <c r="H178" s="62">
        <v>-66.67</v>
      </c>
      <c r="I178" s="62">
        <v>-66.67</v>
      </c>
      <c r="J178" s="55">
        <v>0.02</v>
      </c>
      <c r="K178" s="55">
        <v>0.02</v>
      </c>
      <c r="L178" s="55">
        <v>0.08</v>
      </c>
      <c r="M178" s="55">
        <v>0.08</v>
      </c>
      <c r="N178" s="55"/>
    </row>
    <row r="179" spans="1:14" hidden="1">
      <c r="A179" s="55">
        <v>139</v>
      </c>
      <c r="B179" s="55" t="s">
        <v>464</v>
      </c>
      <c r="C179" s="55" t="s">
        <v>19</v>
      </c>
      <c r="D179" s="22">
        <v>2</v>
      </c>
      <c r="E179" s="22">
        <v>3</v>
      </c>
      <c r="F179" s="22">
        <v>2</v>
      </c>
      <c r="G179" s="22">
        <v>3</v>
      </c>
      <c r="H179" s="55">
        <v>-33.33</v>
      </c>
      <c r="I179" s="55">
        <v>-33.33</v>
      </c>
      <c r="J179" s="55">
        <v>0.02</v>
      </c>
      <c r="K179" s="55">
        <v>0.02</v>
      </c>
      <c r="L179" s="55">
        <v>0.04</v>
      </c>
      <c r="M179" s="55">
        <v>0.04</v>
      </c>
      <c r="N179" s="55"/>
    </row>
    <row r="180" spans="1:14" hidden="1">
      <c r="A180" s="55">
        <v>140</v>
      </c>
      <c r="B180" s="55" t="s">
        <v>163</v>
      </c>
      <c r="C180" s="55" t="s">
        <v>19</v>
      </c>
      <c r="D180" s="22">
        <v>2</v>
      </c>
      <c r="E180" s="22">
        <v>3</v>
      </c>
      <c r="F180" s="22">
        <v>2</v>
      </c>
      <c r="G180" s="22">
        <v>3</v>
      </c>
      <c r="H180" s="62">
        <v>-33.33</v>
      </c>
      <c r="I180" s="62">
        <v>-33.33</v>
      </c>
      <c r="J180" s="55">
        <v>0.02</v>
      </c>
      <c r="K180" s="55">
        <v>0.02</v>
      </c>
      <c r="L180" s="55">
        <v>0.04</v>
      </c>
      <c r="M180" s="55">
        <v>0.04</v>
      </c>
      <c r="N180" s="55"/>
    </row>
    <row r="181" spans="1:14" hidden="1">
      <c r="A181" s="55">
        <v>141</v>
      </c>
      <c r="B181" s="55" t="s">
        <v>454</v>
      </c>
      <c r="C181" s="55" t="s">
        <v>222</v>
      </c>
      <c r="D181" s="22">
        <v>2</v>
      </c>
      <c r="E181" s="22">
        <v>1</v>
      </c>
      <c r="F181" s="22">
        <v>2</v>
      </c>
      <c r="G181" s="22">
        <v>1</v>
      </c>
      <c r="H181" s="55">
        <v>100</v>
      </c>
      <c r="I181" s="55">
        <v>100</v>
      </c>
      <c r="J181" s="55">
        <v>0.02</v>
      </c>
      <c r="K181" s="55">
        <v>0.02</v>
      </c>
      <c r="L181" s="55">
        <v>0.01</v>
      </c>
      <c r="M181" s="55">
        <v>0.01</v>
      </c>
      <c r="N181" s="55"/>
    </row>
    <row r="182" spans="1:14" hidden="1">
      <c r="A182" s="55">
        <v>142</v>
      </c>
      <c r="B182" s="55" t="s">
        <v>162</v>
      </c>
      <c r="C182" s="55" t="s">
        <v>19</v>
      </c>
      <c r="D182" s="22">
        <v>2</v>
      </c>
      <c r="E182" s="22">
        <v>0</v>
      </c>
      <c r="F182" s="22">
        <v>2</v>
      </c>
      <c r="G182" s="22">
        <v>0</v>
      </c>
      <c r="H182" s="55">
        <v>0</v>
      </c>
      <c r="I182" s="55">
        <v>0</v>
      </c>
      <c r="J182" s="55">
        <v>0.02</v>
      </c>
      <c r="K182" s="55">
        <v>0.02</v>
      </c>
      <c r="L182" s="55">
        <v>0</v>
      </c>
      <c r="M182" s="55">
        <v>0</v>
      </c>
      <c r="N182" s="55"/>
    </row>
    <row r="183" spans="1:14">
      <c r="A183" s="55">
        <v>143</v>
      </c>
      <c r="B183" s="55" t="s">
        <v>1088</v>
      </c>
      <c r="C183" s="55" t="s">
        <v>20</v>
      </c>
      <c r="D183" s="22">
        <v>2</v>
      </c>
      <c r="E183" s="22">
        <v>0</v>
      </c>
      <c r="F183" s="22">
        <v>2</v>
      </c>
      <c r="G183" s="22">
        <v>0</v>
      </c>
      <c r="H183" s="55">
        <v>0</v>
      </c>
      <c r="I183" s="55">
        <v>0</v>
      </c>
      <c r="J183" s="55">
        <v>0.02</v>
      </c>
      <c r="K183" s="55">
        <v>0.02</v>
      </c>
      <c r="L183" s="55">
        <v>0</v>
      </c>
      <c r="M183" s="55">
        <v>0</v>
      </c>
      <c r="N183" s="55"/>
    </row>
    <row r="184" spans="1:14" hidden="1">
      <c r="A184" s="55">
        <v>144</v>
      </c>
      <c r="B184" s="55" t="s">
        <v>994</v>
      </c>
      <c r="C184" s="55" t="s">
        <v>19</v>
      </c>
      <c r="D184" s="22">
        <v>2</v>
      </c>
      <c r="E184" s="22">
        <v>0</v>
      </c>
      <c r="F184" s="22">
        <v>2</v>
      </c>
      <c r="G184" s="22">
        <v>0</v>
      </c>
      <c r="H184" s="55">
        <v>0</v>
      </c>
      <c r="I184" s="55">
        <v>0</v>
      </c>
      <c r="J184" s="55">
        <v>0.02</v>
      </c>
      <c r="K184" s="55">
        <v>0.02</v>
      </c>
      <c r="L184" s="55">
        <v>0</v>
      </c>
      <c r="M184" s="55">
        <v>0</v>
      </c>
      <c r="N184" s="55"/>
    </row>
    <row r="185" spans="1:14" hidden="1">
      <c r="A185" s="55">
        <v>145</v>
      </c>
      <c r="B185" s="55" t="s">
        <v>178</v>
      </c>
      <c r="C185" s="55" t="s">
        <v>19</v>
      </c>
      <c r="D185" s="22">
        <v>2</v>
      </c>
      <c r="E185" s="22">
        <v>0</v>
      </c>
      <c r="F185" s="22">
        <v>2</v>
      </c>
      <c r="G185" s="22">
        <v>0</v>
      </c>
      <c r="H185" s="55">
        <v>0</v>
      </c>
      <c r="I185" s="55">
        <v>0</v>
      </c>
      <c r="J185" s="55">
        <v>0.02</v>
      </c>
      <c r="K185" s="55">
        <v>0.02</v>
      </c>
      <c r="L185" s="55">
        <v>0</v>
      </c>
      <c r="M185" s="55">
        <v>0</v>
      </c>
      <c r="N185" s="55"/>
    </row>
    <row r="186" spans="1:14">
      <c r="A186" s="55">
        <v>146</v>
      </c>
      <c r="B186" s="55" t="s">
        <v>386</v>
      </c>
      <c r="C186" s="55" t="s">
        <v>20</v>
      </c>
      <c r="D186" s="22">
        <v>1</v>
      </c>
      <c r="E186" s="22">
        <v>79</v>
      </c>
      <c r="F186" s="22">
        <v>1</v>
      </c>
      <c r="G186" s="22">
        <v>79</v>
      </c>
      <c r="H186" s="55">
        <v>-98.73</v>
      </c>
      <c r="I186" s="55">
        <v>-98.73</v>
      </c>
      <c r="J186" s="55">
        <v>0.01</v>
      </c>
      <c r="K186" s="55">
        <v>0.01</v>
      </c>
      <c r="L186" s="55">
        <v>1.04</v>
      </c>
      <c r="M186" s="55">
        <v>1.04</v>
      </c>
      <c r="N186" s="55"/>
    </row>
    <row r="187" spans="1:14" hidden="1">
      <c r="A187" s="55">
        <v>147</v>
      </c>
      <c r="B187" s="55" t="s">
        <v>911</v>
      </c>
      <c r="C187" s="55" t="s">
        <v>19</v>
      </c>
      <c r="D187" s="22">
        <v>1</v>
      </c>
      <c r="E187" s="22">
        <v>20</v>
      </c>
      <c r="F187" s="22">
        <v>1</v>
      </c>
      <c r="G187" s="22">
        <v>20</v>
      </c>
      <c r="H187" s="55">
        <v>-95</v>
      </c>
      <c r="I187" s="55">
        <v>-95</v>
      </c>
      <c r="J187" s="55">
        <v>0.01</v>
      </c>
      <c r="K187" s="55">
        <v>0.01</v>
      </c>
      <c r="L187" s="55">
        <v>0.26</v>
      </c>
      <c r="M187" s="55">
        <v>0.26</v>
      </c>
      <c r="N187" s="55"/>
    </row>
    <row r="188" spans="1:14" hidden="1">
      <c r="A188" s="55">
        <v>148</v>
      </c>
      <c r="B188" s="55" t="s">
        <v>332</v>
      </c>
      <c r="C188" s="55" t="s">
        <v>19</v>
      </c>
      <c r="D188" s="22">
        <v>1</v>
      </c>
      <c r="E188" s="22">
        <v>20</v>
      </c>
      <c r="F188" s="22">
        <v>1</v>
      </c>
      <c r="G188" s="22">
        <v>20</v>
      </c>
      <c r="H188" s="55">
        <v>-95</v>
      </c>
      <c r="I188" s="55">
        <v>-95</v>
      </c>
      <c r="J188" s="55">
        <v>0.01</v>
      </c>
      <c r="K188" s="55">
        <v>0.01</v>
      </c>
      <c r="L188" s="55">
        <v>0.26</v>
      </c>
      <c r="M188" s="55">
        <v>0.26</v>
      </c>
      <c r="N188" s="55"/>
    </row>
    <row r="189" spans="1:14">
      <c r="A189" s="55">
        <v>149</v>
      </c>
      <c r="B189" s="55" t="s">
        <v>374</v>
      </c>
      <c r="C189" s="55" t="s">
        <v>20</v>
      </c>
      <c r="D189" s="22">
        <v>1</v>
      </c>
      <c r="E189" s="22">
        <v>12</v>
      </c>
      <c r="F189" s="22">
        <v>1</v>
      </c>
      <c r="G189" s="22">
        <v>12</v>
      </c>
      <c r="H189" s="55">
        <v>-91.67</v>
      </c>
      <c r="I189" s="55">
        <v>-91.67</v>
      </c>
      <c r="J189" s="55">
        <v>0.01</v>
      </c>
      <c r="K189" s="55">
        <v>0.01</v>
      </c>
      <c r="L189" s="55">
        <v>0.16</v>
      </c>
      <c r="M189" s="55">
        <v>0.16</v>
      </c>
      <c r="N189" s="55"/>
    </row>
    <row r="190" spans="1:14" hidden="1">
      <c r="A190" s="55">
        <v>150</v>
      </c>
      <c r="B190" s="55" t="s">
        <v>388</v>
      </c>
      <c r="C190" s="55" t="s">
        <v>19</v>
      </c>
      <c r="D190" s="22">
        <v>1</v>
      </c>
      <c r="E190" s="22">
        <v>8</v>
      </c>
      <c r="F190" s="22">
        <v>1</v>
      </c>
      <c r="G190" s="22">
        <v>8</v>
      </c>
      <c r="H190" s="55">
        <v>-87.5</v>
      </c>
      <c r="I190" s="55">
        <v>-87.5</v>
      </c>
      <c r="J190" s="55">
        <v>0.01</v>
      </c>
      <c r="K190" s="55">
        <v>0.01</v>
      </c>
      <c r="L190" s="55">
        <v>0.1</v>
      </c>
      <c r="M190" s="55">
        <v>0.1</v>
      </c>
      <c r="N190" s="55"/>
    </row>
    <row r="191" spans="1:14">
      <c r="A191" s="55">
        <v>151</v>
      </c>
      <c r="B191" s="55" t="s">
        <v>364</v>
      </c>
      <c r="C191" s="55" t="s">
        <v>20</v>
      </c>
      <c r="D191" s="22">
        <v>1</v>
      </c>
      <c r="E191" s="22">
        <v>2</v>
      </c>
      <c r="F191" s="22">
        <v>1</v>
      </c>
      <c r="G191" s="22">
        <v>2</v>
      </c>
      <c r="H191" s="55">
        <v>-50</v>
      </c>
      <c r="I191" s="55">
        <v>-50</v>
      </c>
      <c r="J191" s="55">
        <v>0.01</v>
      </c>
      <c r="K191" s="55">
        <v>0.01</v>
      </c>
      <c r="L191" s="55">
        <v>0.03</v>
      </c>
      <c r="M191" s="55">
        <v>0.03</v>
      </c>
      <c r="N191" s="55"/>
    </row>
    <row r="192" spans="1:14" hidden="1">
      <c r="A192" s="55">
        <v>152</v>
      </c>
      <c r="B192" s="55" t="s">
        <v>134</v>
      </c>
      <c r="C192" s="55" t="s">
        <v>19</v>
      </c>
      <c r="D192" s="22">
        <v>1</v>
      </c>
      <c r="E192" s="22">
        <v>2</v>
      </c>
      <c r="F192" s="22">
        <v>1</v>
      </c>
      <c r="G192" s="22">
        <v>2</v>
      </c>
      <c r="H192" s="55">
        <v>-50</v>
      </c>
      <c r="I192" s="55">
        <v>-50</v>
      </c>
      <c r="J192" s="55">
        <v>0.01</v>
      </c>
      <c r="K192" s="55">
        <v>0.01</v>
      </c>
      <c r="L192" s="55">
        <v>0.03</v>
      </c>
      <c r="M192" s="55">
        <v>0.03</v>
      </c>
      <c r="N192" s="55"/>
    </row>
    <row r="193" spans="1:14">
      <c r="A193" s="55">
        <v>153</v>
      </c>
      <c r="B193" s="55" t="s">
        <v>561</v>
      </c>
      <c r="C193" s="55" t="s">
        <v>20</v>
      </c>
      <c r="D193" s="22">
        <v>1</v>
      </c>
      <c r="E193" s="22">
        <v>0</v>
      </c>
      <c r="F193" s="22">
        <v>1</v>
      </c>
      <c r="G193" s="22">
        <v>0</v>
      </c>
      <c r="H193" s="55">
        <v>0</v>
      </c>
      <c r="I193" s="55">
        <v>0</v>
      </c>
      <c r="J193" s="55">
        <v>0.01</v>
      </c>
      <c r="K193" s="55">
        <v>0.01</v>
      </c>
      <c r="L193" s="55">
        <v>0</v>
      </c>
      <c r="M193" s="55">
        <v>0</v>
      </c>
      <c r="N193" s="55"/>
    </row>
    <row r="194" spans="1:14">
      <c r="A194" s="55">
        <v>154</v>
      </c>
      <c r="B194" s="55" t="s">
        <v>993</v>
      </c>
      <c r="C194" s="55" t="s">
        <v>20</v>
      </c>
      <c r="D194" s="22">
        <v>1</v>
      </c>
      <c r="E194" s="22">
        <v>0</v>
      </c>
      <c r="F194" s="22">
        <v>1</v>
      </c>
      <c r="G194" s="22">
        <v>0</v>
      </c>
      <c r="H194" s="62">
        <v>0</v>
      </c>
      <c r="I194" s="62">
        <v>0</v>
      </c>
      <c r="J194" s="62">
        <v>0.01</v>
      </c>
      <c r="K194" s="62">
        <v>0.01</v>
      </c>
      <c r="L194" s="62">
        <v>0</v>
      </c>
      <c r="M194" s="62">
        <v>0</v>
      </c>
      <c r="N194" s="55"/>
    </row>
    <row r="195" spans="1:14">
      <c r="A195" s="55">
        <v>155</v>
      </c>
      <c r="B195" s="55" t="s">
        <v>1012</v>
      </c>
      <c r="C195" s="55" t="s">
        <v>20</v>
      </c>
      <c r="D195" s="22">
        <v>1</v>
      </c>
      <c r="E195" s="22">
        <v>0</v>
      </c>
      <c r="F195" s="22">
        <v>1</v>
      </c>
      <c r="G195" s="22">
        <v>0</v>
      </c>
      <c r="H195" s="55">
        <v>0</v>
      </c>
      <c r="I195" s="55">
        <v>0</v>
      </c>
      <c r="J195" s="55">
        <v>0.01</v>
      </c>
      <c r="K195" s="55">
        <v>0.01</v>
      </c>
      <c r="L195" s="55">
        <v>0</v>
      </c>
      <c r="M195" s="55">
        <v>0</v>
      </c>
      <c r="N195" s="55"/>
    </row>
    <row r="196" spans="1:14">
      <c r="A196" s="55">
        <v>156</v>
      </c>
      <c r="B196" s="55" t="s">
        <v>1090</v>
      </c>
      <c r="C196" s="55" t="s">
        <v>20</v>
      </c>
      <c r="D196" s="22">
        <v>1</v>
      </c>
      <c r="E196" s="22">
        <v>0</v>
      </c>
      <c r="F196" s="22">
        <v>1</v>
      </c>
      <c r="G196" s="22">
        <v>0</v>
      </c>
      <c r="H196" s="55">
        <v>0</v>
      </c>
      <c r="I196" s="55">
        <v>0</v>
      </c>
      <c r="J196" s="55">
        <v>0.01</v>
      </c>
      <c r="K196" s="55">
        <v>0.01</v>
      </c>
      <c r="L196" s="55">
        <v>0</v>
      </c>
      <c r="M196" s="55">
        <v>0</v>
      </c>
      <c r="N196" s="55"/>
    </row>
    <row r="197" spans="1:14">
      <c r="A197" s="55">
        <v>157</v>
      </c>
      <c r="B197" s="55" t="s">
        <v>1072</v>
      </c>
      <c r="C197" s="55" t="s">
        <v>20</v>
      </c>
      <c r="D197" s="22">
        <v>1</v>
      </c>
      <c r="E197" s="22">
        <v>0</v>
      </c>
      <c r="F197" s="22">
        <v>1</v>
      </c>
      <c r="G197" s="22">
        <v>0</v>
      </c>
      <c r="H197" s="55">
        <v>0</v>
      </c>
      <c r="I197" s="55">
        <v>0</v>
      </c>
      <c r="J197" s="55">
        <v>0.01</v>
      </c>
      <c r="K197" s="55">
        <v>0.01</v>
      </c>
      <c r="L197" s="55">
        <v>0</v>
      </c>
      <c r="M197" s="55">
        <v>0</v>
      </c>
      <c r="N197" s="55"/>
    </row>
    <row r="198" spans="1:14" hidden="1">
      <c r="A198" s="55">
        <v>158</v>
      </c>
      <c r="B198" s="55" t="s">
        <v>1023</v>
      </c>
      <c r="C198" s="55" t="s">
        <v>19</v>
      </c>
      <c r="D198" s="22">
        <v>1</v>
      </c>
      <c r="E198" s="22">
        <v>0</v>
      </c>
      <c r="F198" s="22">
        <v>1</v>
      </c>
      <c r="G198" s="22">
        <v>0</v>
      </c>
      <c r="H198" s="55">
        <v>0</v>
      </c>
      <c r="I198" s="55">
        <v>0</v>
      </c>
      <c r="J198" s="55">
        <v>0.01</v>
      </c>
      <c r="K198" s="55">
        <v>0.01</v>
      </c>
      <c r="L198" s="55">
        <v>0</v>
      </c>
      <c r="M198" s="55">
        <v>0</v>
      </c>
      <c r="N198" s="55"/>
    </row>
    <row r="199" spans="1:14" hidden="1">
      <c r="A199" s="55">
        <v>159</v>
      </c>
      <c r="B199" s="55" t="s">
        <v>975</v>
      </c>
      <c r="C199" s="55" t="s">
        <v>19</v>
      </c>
      <c r="D199" s="22">
        <v>1</v>
      </c>
      <c r="E199" s="22">
        <v>0</v>
      </c>
      <c r="F199" s="22">
        <v>1</v>
      </c>
      <c r="G199" s="22">
        <v>0</v>
      </c>
      <c r="H199" s="55">
        <v>0</v>
      </c>
      <c r="I199" s="55">
        <v>0</v>
      </c>
      <c r="J199" s="55">
        <v>0.01</v>
      </c>
      <c r="K199" s="55">
        <v>0.01</v>
      </c>
      <c r="L199" s="55">
        <v>0</v>
      </c>
      <c r="M199" s="55">
        <v>0</v>
      </c>
      <c r="N199" s="55"/>
    </row>
    <row r="200" spans="1:14" hidden="1">
      <c r="A200" s="55">
        <v>160</v>
      </c>
      <c r="B200" s="55" t="s">
        <v>1024</v>
      </c>
      <c r="C200" s="55" t="s">
        <v>19</v>
      </c>
      <c r="D200" s="22">
        <v>1</v>
      </c>
      <c r="E200" s="22">
        <v>0</v>
      </c>
      <c r="F200" s="22">
        <v>1</v>
      </c>
      <c r="G200" s="22">
        <v>0</v>
      </c>
      <c r="H200" s="55">
        <v>0</v>
      </c>
      <c r="I200" s="55">
        <v>0</v>
      </c>
      <c r="J200" s="55">
        <v>0.01</v>
      </c>
      <c r="K200" s="55">
        <v>0.01</v>
      </c>
      <c r="L200" s="55">
        <v>0</v>
      </c>
      <c r="M200" s="55">
        <v>0</v>
      </c>
      <c r="N200" s="55"/>
    </row>
    <row r="201" spans="1:14" hidden="1">
      <c r="A201" s="55">
        <v>161</v>
      </c>
      <c r="B201" s="55" t="s">
        <v>333</v>
      </c>
      <c r="C201" s="55" t="s">
        <v>19</v>
      </c>
      <c r="D201" s="22">
        <v>1</v>
      </c>
      <c r="E201" s="22">
        <v>0</v>
      </c>
      <c r="F201" s="22">
        <v>1</v>
      </c>
      <c r="G201" s="22">
        <v>0</v>
      </c>
      <c r="H201" s="55">
        <v>0</v>
      </c>
      <c r="I201" s="55">
        <v>0</v>
      </c>
      <c r="J201" s="55">
        <v>0.01</v>
      </c>
      <c r="K201" s="55">
        <v>0.01</v>
      </c>
      <c r="L201" s="55">
        <v>0</v>
      </c>
      <c r="M201" s="55">
        <v>0</v>
      </c>
      <c r="N201" s="55"/>
    </row>
    <row r="202" spans="1:14" hidden="1">
      <c r="A202" s="55">
        <v>162</v>
      </c>
      <c r="B202" s="55" t="s">
        <v>1116</v>
      </c>
      <c r="C202" s="55" t="s">
        <v>19</v>
      </c>
      <c r="D202" s="22">
        <v>1</v>
      </c>
      <c r="E202" s="22">
        <v>0</v>
      </c>
      <c r="F202" s="22">
        <v>1</v>
      </c>
      <c r="G202" s="22">
        <v>0</v>
      </c>
      <c r="H202" s="55">
        <v>0</v>
      </c>
      <c r="I202" s="55">
        <v>0</v>
      </c>
      <c r="J202" s="55">
        <v>0.01</v>
      </c>
      <c r="K202" s="55">
        <v>0.01</v>
      </c>
      <c r="L202" s="55">
        <v>0</v>
      </c>
      <c r="M202" s="55">
        <v>0</v>
      </c>
      <c r="N202" s="55"/>
    </row>
    <row r="203" spans="1:14" hidden="1">
      <c r="A203" s="55">
        <v>163</v>
      </c>
      <c r="B203" s="55" t="s">
        <v>371</v>
      </c>
      <c r="C203" s="55" t="s">
        <v>19</v>
      </c>
      <c r="D203" s="22">
        <v>0</v>
      </c>
      <c r="E203" s="22">
        <v>138</v>
      </c>
      <c r="F203" s="22">
        <v>0</v>
      </c>
      <c r="G203" s="22">
        <v>138</v>
      </c>
      <c r="H203" s="55">
        <v>-100</v>
      </c>
      <c r="I203" s="55">
        <v>-100</v>
      </c>
      <c r="J203" s="55">
        <v>0</v>
      </c>
      <c r="K203" s="55">
        <v>0</v>
      </c>
      <c r="L203" s="55">
        <v>1.81</v>
      </c>
      <c r="M203" s="55">
        <v>1.81</v>
      </c>
      <c r="N203" s="55"/>
    </row>
    <row r="204" spans="1:14" hidden="1">
      <c r="A204" s="134">
        <v>164</v>
      </c>
      <c r="B204" s="134" t="s">
        <v>338</v>
      </c>
      <c r="C204" s="134" t="s">
        <v>19</v>
      </c>
      <c r="D204" s="141">
        <v>0</v>
      </c>
      <c r="E204" s="141">
        <v>68</v>
      </c>
      <c r="F204" s="141">
        <v>0</v>
      </c>
      <c r="G204" s="141">
        <v>68</v>
      </c>
      <c r="H204" s="134">
        <v>-100</v>
      </c>
      <c r="I204" s="134">
        <v>-100</v>
      </c>
      <c r="J204" s="134">
        <v>0</v>
      </c>
      <c r="K204" s="134">
        <v>0</v>
      </c>
      <c r="L204" s="134">
        <v>0.89</v>
      </c>
      <c r="M204" s="134">
        <v>0.89</v>
      </c>
      <c r="N204" s="55"/>
    </row>
    <row r="205" spans="1:14" hidden="1">
      <c r="A205" s="134">
        <v>165</v>
      </c>
      <c r="B205" s="134" t="s">
        <v>373</v>
      </c>
      <c r="C205" s="134" t="s">
        <v>19</v>
      </c>
      <c r="D205" s="141">
        <v>0</v>
      </c>
      <c r="E205" s="141">
        <v>29</v>
      </c>
      <c r="F205" s="141">
        <v>0</v>
      </c>
      <c r="G205" s="141">
        <v>29</v>
      </c>
      <c r="H205" s="134">
        <v>-100</v>
      </c>
      <c r="I205" s="134">
        <v>-100</v>
      </c>
      <c r="J205" s="134">
        <v>0</v>
      </c>
      <c r="K205" s="134">
        <v>0</v>
      </c>
      <c r="L205" s="134">
        <v>0.38</v>
      </c>
      <c r="M205" s="134">
        <v>0.38</v>
      </c>
      <c r="N205" s="55"/>
    </row>
    <row r="206" spans="1:14">
      <c r="A206" s="134">
        <v>166</v>
      </c>
      <c r="B206" s="134" t="s">
        <v>79</v>
      </c>
      <c r="C206" s="134" t="s">
        <v>20</v>
      </c>
      <c r="D206" s="141">
        <v>0</v>
      </c>
      <c r="E206" s="141">
        <v>24</v>
      </c>
      <c r="F206" s="141">
        <v>0</v>
      </c>
      <c r="G206" s="141">
        <v>24</v>
      </c>
      <c r="H206" s="134">
        <v>-100</v>
      </c>
      <c r="I206" s="134">
        <v>-100</v>
      </c>
      <c r="J206" s="134">
        <v>0</v>
      </c>
      <c r="K206" s="134">
        <v>0</v>
      </c>
      <c r="L206" s="134">
        <v>0.31</v>
      </c>
      <c r="M206" s="134">
        <v>0.31</v>
      </c>
      <c r="N206" s="55"/>
    </row>
    <row r="207" spans="1:14">
      <c r="A207" s="134">
        <v>167</v>
      </c>
      <c r="B207" s="134" t="s">
        <v>529</v>
      </c>
      <c r="C207" s="134" t="s">
        <v>20</v>
      </c>
      <c r="D207" s="141">
        <v>0</v>
      </c>
      <c r="E207" s="141">
        <v>18</v>
      </c>
      <c r="F207" s="141">
        <v>0</v>
      </c>
      <c r="G207" s="141">
        <v>18</v>
      </c>
      <c r="H207" s="134">
        <v>-100</v>
      </c>
      <c r="I207" s="134">
        <v>-100</v>
      </c>
      <c r="J207" s="134">
        <v>0</v>
      </c>
      <c r="K207" s="134">
        <v>0</v>
      </c>
      <c r="L207" s="134">
        <v>0.24</v>
      </c>
      <c r="M207" s="134">
        <v>0.24</v>
      </c>
      <c r="N207" s="55"/>
    </row>
    <row r="208" spans="1:14" hidden="1">
      <c r="A208" s="134">
        <v>168</v>
      </c>
      <c r="B208" s="134" t="s">
        <v>340</v>
      </c>
      <c r="C208" s="134" t="s">
        <v>19</v>
      </c>
      <c r="D208" s="141">
        <v>0</v>
      </c>
      <c r="E208" s="141">
        <v>17</v>
      </c>
      <c r="F208" s="141">
        <v>0</v>
      </c>
      <c r="G208" s="141">
        <v>17</v>
      </c>
      <c r="H208" s="134">
        <v>-100</v>
      </c>
      <c r="I208" s="134">
        <v>-100</v>
      </c>
      <c r="J208" s="134">
        <v>0</v>
      </c>
      <c r="K208" s="134">
        <v>0</v>
      </c>
      <c r="L208" s="134">
        <v>0.22</v>
      </c>
      <c r="M208" s="134">
        <v>0.22</v>
      </c>
      <c r="N208" s="55"/>
    </row>
    <row r="209" spans="1:14">
      <c r="A209" s="134">
        <v>169</v>
      </c>
      <c r="B209" s="134" t="s">
        <v>585</v>
      </c>
      <c r="C209" s="134" t="s">
        <v>20</v>
      </c>
      <c r="D209" s="141">
        <v>0</v>
      </c>
      <c r="E209" s="141">
        <v>12</v>
      </c>
      <c r="F209" s="141">
        <v>0</v>
      </c>
      <c r="G209" s="141">
        <v>12</v>
      </c>
      <c r="H209" s="134">
        <v>-100</v>
      </c>
      <c r="I209" s="134">
        <v>-100</v>
      </c>
      <c r="J209" s="134">
        <v>0</v>
      </c>
      <c r="K209" s="134">
        <v>0</v>
      </c>
      <c r="L209" s="134">
        <v>0.16</v>
      </c>
      <c r="M209" s="134">
        <v>0.16</v>
      </c>
      <c r="N209" s="55"/>
    </row>
    <row r="210" spans="1:14" hidden="1">
      <c r="A210" s="134">
        <v>170</v>
      </c>
      <c r="B210" s="134" t="s">
        <v>70</v>
      </c>
      <c r="C210" s="134" t="s">
        <v>19</v>
      </c>
      <c r="D210" s="141">
        <v>0</v>
      </c>
      <c r="E210" s="141">
        <v>10</v>
      </c>
      <c r="F210" s="141">
        <v>0</v>
      </c>
      <c r="G210" s="141">
        <v>10</v>
      </c>
      <c r="H210" s="134">
        <v>-100</v>
      </c>
      <c r="I210" s="134">
        <v>-100</v>
      </c>
      <c r="J210" s="134">
        <v>0</v>
      </c>
      <c r="K210" s="134">
        <v>0</v>
      </c>
      <c r="L210" s="134">
        <v>0.13</v>
      </c>
      <c r="M210" s="134">
        <v>0.13</v>
      </c>
      <c r="N210" s="55"/>
    </row>
    <row r="211" spans="1:14">
      <c r="A211" s="134">
        <v>171</v>
      </c>
      <c r="B211" s="134" t="s">
        <v>462</v>
      </c>
      <c r="C211" s="134" t="s">
        <v>20</v>
      </c>
      <c r="D211" s="141">
        <v>0</v>
      </c>
      <c r="E211" s="141">
        <v>9</v>
      </c>
      <c r="F211" s="141">
        <v>0</v>
      </c>
      <c r="G211" s="141">
        <v>9</v>
      </c>
      <c r="H211" s="134">
        <v>-100</v>
      </c>
      <c r="I211" s="134">
        <v>-100</v>
      </c>
      <c r="J211" s="134">
        <v>0</v>
      </c>
      <c r="K211" s="134">
        <v>0</v>
      </c>
      <c r="L211" s="134">
        <v>0.12</v>
      </c>
      <c r="M211" s="134">
        <v>0.12</v>
      </c>
      <c r="N211" s="55"/>
    </row>
    <row r="212" spans="1:14" hidden="1">
      <c r="A212" s="134">
        <v>172</v>
      </c>
      <c r="B212" s="134" t="s">
        <v>401</v>
      </c>
      <c r="C212" s="134" t="s">
        <v>19</v>
      </c>
      <c r="D212" s="141">
        <v>0</v>
      </c>
      <c r="E212" s="141">
        <v>8</v>
      </c>
      <c r="F212" s="141">
        <v>0</v>
      </c>
      <c r="G212" s="141">
        <v>8</v>
      </c>
      <c r="H212" s="134">
        <v>-100</v>
      </c>
      <c r="I212" s="134">
        <v>-100</v>
      </c>
      <c r="J212" s="134">
        <v>0</v>
      </c>
      <c r="K212" s="134">
        <v>0</v>
      </c>
      <c r="L212" s="134">
        <v>0.1</v>
      </c>
      <c r="M212" s="134">
        <v>0.1</v>
      </c>
      <c r="N212" s="55"/>
    </row>
    <row r="213" spans="1:14" hidden="1">
      <c r="A213" s="134">
        <v>173</v>
      </c>
      <c r="B213" s="134" t="s">
        <v>515</v>
      </c>
      <c r="C213" s="134" t="s">
        <v>19</v>
      </c>
      <c r="D213" s="141">
        <v>0</v>
      </c>
      <c r="E213" s="141">
        <v>7</v>
      </c>
      <c r="F213" s="141">
        <v>0</v>
      </c>
      <c r="G213" s="141">
        <v>7</v>
      </c>
      <c r="H213" s="136">
        <v>-100</v>
      </c>
      <c r="I213" s="136">
        <v>-100</v>
      </c>
      <c r="J213" s="136">
        <v>0</v>
      </c>
      <c r="K213" s="136">
        <v>0</v>
      </c>
      <c r="L213" s="136">
        <v>0.09</v>
      </c>
      <c r="M213" s="136">
        <v>0.09</v>
      </c>
      <c r="N213" s="55"/>
    </row>
    <row r="214" spans="1:14">
      <c r="A214" s="134">
        <v>174</v>
      </c>
      <c r="B214" s="134" t="s">
        <v>465</v>
      </c>
      <c r="C214" s="134" t="s">
        <v>20</v>
      </c>
      <c r="D214" s="141">
        <v>0</v>
      </c>
      <c r="E214" s="141">
        <v>6</v>
      </c>
      <c r="F214" s="141">
        <v>0</v>
      </c>
      <c r="G214" s="141">
        <v>6</v>
      </c>
      <c r="H214" s="134">
        <v>-100</v>
      </c>
      <c r="I214" s="134">
        <v>-100</v>
      </c>
      <c r="J214" s="134">
        <v>0</v>
      </c>
      <c r="K214" s="134">
        <v>0</v>
      </c>
      <c r="L214" s="134">
        <v>0.08</v>
      </c>
      <c r="M214" s="134">
        <v>0.08</v>
      </c>
      <c r="N214" s="55"/>
    </row>
    <row r="215" spans="1:14" hidden="1">
      <c r="A215" s="134">
        <v>175</v>
      </c>
      <c r="B215" s="134" t="s">
        <v>591</v>
      </c>
      <c r="C215" s="134" t="s">
        <v>19</v>
      </c>
      <c r="D215" s="141">
        <v>0</v>
      </c>
      <c r="E215" s="141">
        <v>6</v>
      </c>
      <c r="F215" s="141">
        <v>0</v>
      </c>
      <c r="G215" s="141">
        <v>6</v>
      </c>
      <c r="H215" s="134">
        <v>-100</v>
      </c>
      <c r="I215" s="134">
        <v>-100</v>
      </c>
      <c r="J215" s="134">
        <v>0</v>
      </c>
      <c r="K215" s="134">
        <v>0</v>
      </c>
      <c r="L215" s="134">
        <v>0.08</v>
      </c>
      <c r="M215" s="134">
        <v>0.08</v>
      </c>
      <c r="N215" s="55"/>
    </row>
    <row r="216" spans="1:14">
      <c r="A216" s="134">
        <v>176</v>
      </c>
      <c r="B216" s="134" t="s">
        <v>375</v>
      </c>
      <c r="C216" s="134" t="s">
        <v>20</v>
      </c>
      <c r="D216" s="141">
        <v>0</v>
      </c>
      <c r="E216" s="141">
        <v>4</v>
      </c>
      <c r="F216" s="141">
        <v>0</v>
      </c>
      <c r="G216" s="141">
        <v>4</v>
      </c>
      <c r="H216" s="134">
        <v>-100</v>
      </c>
      <c r="I216" s="134">
        <v>-100</v>
      </c>
      <c r="J216" s="134">
        <v>0</v>
      </c>
      <c r="K216" s="134">
        <v>0</v>
      </c>
      <c r="L216" s="134">
        <v>0.05</v>
      </c>
      <c r="M216" s="134">
        <v>0.05</v>
      </c>
      <c r="N216" s="55"/>
    </row>
    <row r="217" spans="1:14" hidden="1">
      <c r="A217" s="134">
        <v>177</v>
      </c>
      <c r="B217" s="134" t="s">
        <v>644</v>
      </c>
      <c r="C217" s="134" t="s">
        <v>19</v>
      </c>
      <c r="D217" s="141">
        <v>0</v>
      </c>
      <c r="E217" s="141">
        <v>4</v>
      </c>
      <c r="F217" s="141">
        <v>0</v>
      </c>
      <c r="G217" s="141">
        <v>4</v>
      </c>
      <c r="H217" s="134">
        <v>-100</v>
      </c>
      <c r="I217" s="134">
        <v>-100</v>
      </c>
      <c r="J217" s="134">
        <v>0</v>
      </c>
      <c r="K217" s="134">
        <v>0</v>
      </c>
      <c r="L217" s="134">
        <v>0.05</v>
      </c>
      <c r="M217" s="134">
        <v>0.05</v>
      </c>
      <c r="N217" s="55"/>
    </row>
    <row r="218" spans="1:14" hidden="1">
      <c r="A218" s="134">
        <v>178</v>
      </c>
      <c r="B218" s="134" t="s">
        <v>402</v>
      </c>
      <c r="C218" s="134" t="s">
        <v>19</v>
      </c>
      <c r="D218" s="141">
        <v>0</v>
      </c>
      <c r="E218" s="141">
        <v>4</v>
      </c>
      <c r="F218" s="141">
        <v>0</v>
      </c>
      <c r="G218" s="141">
        <v>4</v>
      </c>
      <c r="H218" s="134">
        <v>-100</v>
      </c>
      <c r="I218" s="134">
        <v>-100</v>
      </c>
      <c r="J218" s="134">
        <v>0</v>
      </c>
      <c r="K218" s="134">
        <v>0</v>
      </c>
      <c r="L218" s="134">
        <v>0.05</v>
      </c>
      <c r="M218" s="134">
        <v>0.05</v>
      </c>
      <c r="N218" s="55"/>
    </row>
    <row r="219" spans="1:14" hidden="1">
      <c r="A219" s="134">
        <v>179</v>
      </c>
      <c r="B219" s="134" t="s">
        <v>396</v>
      </c>
      <c r="C219" s="134" t="s">
        <v>19</v>
      </c>
      <c r="D219" s="141">
        <v>0</v>
      </c>
      <c r="E219" s="141">
        <v>4</v>
      </c>
      <c r="F219" s="141">
        <v>0</v>
      </c>
      <c r="G219" s="141">
        <v>4</v>
      </c>
      <c r="H219" s="134">
        <v>-100</v>
      </c>
      <c r="I219" s="134">
        <v>-100</v>
      </c>
      <c r="J219" s="134">
        <v>0</v>
      </c>
      <c r="K219" s="134">
        <v>0</v>
      </c>
      <c r="L219" s="134">
        <v>0.05</v>
      </c>
      <c r="M219" s="134">
        <v>0.05</v>
      </c>
      <c r="N219" s="55"/>
    </row>
    <row r="220" spans="1:14" hidden="1">
      <c r="A220" s="134">
        <v>180</v>
      </c>
      <c r="B220" s="134" t="s">
        <v>356</v>
      </c>
      <c r="C220" s="134" t="s">
        <v>19</v>
      </c>
      <c r="D220" s="141">
        <v>0</v>
      </c>
      <c r="E220" s="141">
        <v>3</v>
      </c>
      <c r="F220" s="141">
        <v>0</v>
      </c>
      <c r="G220" s="141">
        <v>3</v>
      </c>
      <c r="H220" s="134">
        <v>-100</v>
      </c>
      <c r="I220" s="134">
        <v>-100</v>
      </c>
      <c r="J220" s="134">
        <v>0</v>
      </c>
      <c r="K220" s="134">
        <v>0</v>
      </c>
      <c r="L220" s="134">
        <v>0.04</v>
      </c>
      <c r="M220" s="134">
        <v>0.04</v>
      </c>
      <c r="N220" s="55"/>
    </row>
    <row r="221" spans="1:14" hidden="1">
      <c r="A221" s="134">
        <v>181</v>
      </c>
      <c r="B221" s="134" t="s">
        <v>640</v>
      </c>
      <c r="C221" s="134" t="s">
        <v>19</v>
      </c>
      <c r="D221" s="141">
        <v>0</v>
      </c>
      <c r="E221" s="141">
        <v>3</v>
      </c>
      <c r="F221" s="141">
        <v>0</v>
      </c>
      <c r="G221" s="141">
        <v>3</v>
      </c>
      <c r="H221" s="134">
        <v>-100</v>
      </c>
      <c r="I221" s="134">
        <v>-100</v>
      </c>
      <c r="J221" s="134">
        <v>0</v>
      </c>
      <c r="K221" s="134">
        <v>0</v>
      </c>
      <c r="L221" s="134">
        <v>0.04</v>
      </c>
      <c r="M221" s="134">
        <v>0.04</v>
      </c>
      <c r="N221" s="55"/>
    </row>
    <row r="222" spans="1:14">
      <c r="A222" s="134">
        <v>182</v>
      </c>
      <c r="B222" s="134" t="s">
        <v>958</v>
      </c>
      <c r="C222" s="134" t="s">
        <v>20</v>
      </c>
      <c r="D222" s="141">
        <v>0</v>
      </c>
      <c r="E222" s="141">
        <v>3</v>
      </c>
      <c r="F222" s="141">
        <v>0</v>
      </c>
      <c r="G222" s="141">
        <v>3</v>
      </c>
      <c r="H222" s="134">
        <v>-100</v>
      </c>
      <c r="I222" s="134">
        <v>-100</v>
      </c>
      <c r="J222" s="134">
        <v>0</v>
      </c>
      <c r="K222" s="134">
        <v>0</v>
      </c>
      <c r="L222" s="134">
        <v>0.04</v>
      </c>
      <c r="M222" s="134">
        <v>0.04</v>
      </c>
      <c r="N222" s="55"/>
    </row>
    <row r="223" spans="1:14">
      <c r="A223" s="134">
        <v>183</v>
      </c>
      <c r="B223" s="134" t="s">
        <v>960</v>
      </c>
      <c r="C223" s="134" t="s">
        <v>20</v>
      </c>
      <c r="D223" s="141">
        <v>0</v>
      </c>
      <c r="E223" s="141">
        <v>3</v>
      </c>
      <c r="F223" s="141">
        <v>0</v>
      </c>
      <c r="G223" s="141">
        <v>3</v>
      </c>
      <c r="H223" s="134">
        <v>-100</v>
      </c>
      <c r="I223" s="134">
        <v>-100</v>
      </c>
      <c r="J223" s="134">
        <v>0</v>
      </c>
      <c r="K223" s="134">
        <v>0</v>
      </c>
      <c r="L223" s="134">
        <v>0.04</v>
      </c>
      <c r="M223" s="134">
        <v>0.04</v>
      </c>
      <c r="N223" s="55"/>
    </row>
    <row r="224" spans="1:14" hidden="1">
      <c r="A224" s="134">
        <v>184</v>
      </c>
      <c r="B224" s="134" t="s">
        <v>127</v>
      </c>
      <c r="C224" s="134" t="s">
        <v>19</v>
      </c>
      <c r="D224" s="141">
        <v>0</v>
      </c>
      <c r="E224" s="141">
        <v>2</v>
      </c>
      <c r="F224" s="141">
        <v>0</v>
      </c>
      <c r="G224" s="141">
        <v>2</v>
      </c>
      <c r="H224" s="134">
        <v>-100</v>
      </c>
      <c r="I224" s="134">
        <v>-100</v>
      </c>
      <c r="J224" s="134">
        <v>0</v>
      </c>
      <c r="K224" s="134">
        <v>0</v>
      </c>
      <c r="L224" s="134">
        <v>0.03</v>
      </c>
      <c r="M224" s="134">
        <v>0.03</v>
      </c>
      <c r="N224" s="55"/>
    </row>
    <row r="225" spans="1:14" hidden="1">
      <c r="A225" s="134">
        <v>185</v>
      </c>
      <c r="B225" s="134" t="s">
        <v>394</v>
      </c>
      <c r="C225" s="134" t="s">
        <v>19</v>
      </c>
      <c r="D225" s="141">
        <v>0</v>
      </c>
      <c r="E225" s="141">
        <v>2</v>
      </c>
      <c r="F225" s="141">
        <v>0</v>
      </c>
      <c r="G225" s="141">
        <v>2</v>
      </c>
      <c r="H225" s="134">
        <v>-100</v>
      </c>
      <c r="I225" s="134">
        <v>-100</v>
      </c>
      <c r="J225" s="134">
        <v>0</v>
      </c>
      <c r="K225" s="134">
        <v>0</v>
      </c>
      <c r="L225" s="134">
        <v>0.03</v>
      </c>
      <c r="M225" s="134">
        <v>0.03</v>
      </c>
      <c r="N225" s="55"/>
    </row>
    <row r="226" spans="1:14" hidden="1">
      <c r="A226" s="134">
        <v>186</v>
      </c>
      <c r="B226" s="134" t="s">
        <v>612</v>
      </c>
      <c r="C226" s="134" t="s">
        <v>19</v>
      </c>
      <c r="D226" s="141">
        <v>0</v>
      </c>
      <c r="E226" s="141">
        <v>2</v>
      </c>
      <c r="F226" s="141">
        <v>0</v>
      </c>
      <c r="G226" s="141">
        <v>2</v>
      </c>
      <c r="H226" s="134">
        <v>-100</v>
      </c>
      <c r="I226" s="134">
        <v>-100</v>
      </c>
      <c r="J226" s="134">
        <v>0</v>
      </c>
      <c r="K226" s="134">
        <v>0</v>
      </c>
      <c r="L226" s="134">
        <v>0.03</v>
      </c>
      <c r="M226" s="134">
        <v>0.03</v>
      </c>
      <c r="N226" s="55"/>
    </row>
    <row r="227" spans="1:14">
      <c r="A227" s="134">
        <v>187</v>
      </c>
      <c r="B227" s="134" t="s">
        <v>646</v>
      </c>
      <c r="C227" s="134" t="s">
        <v>20</v>
      </c>
      <c r="D227" s="141">
        <v>0</v>
      </c>
      <c r="E227" s="141">
        <v>2</v>
      </c>
      <c r="F227" s="141">
        <v>0</v>
      </c>
      <c r="G227" s="141">
        <v>2</v>
      </c>
      <c r="H227" s="134">
        <v>-100</v>
      </c>
      <c r="I227" s="134">
        <v>-100</v>
      </c>
      <c r="J227" s="134">
        <v>0</v>
      </c>
      <c r="K227" s="134">
        <v>0</v>
      </c>
      <c r="L227" s="134">
        <v>0.03</v>
      </c>
      <c r="M227" s="134">
        <v>0.03</v>
      </c>
      <c r="N227" s="55"/>
    </row>
    <row r="228" spans="1:14" hidden="1">
      <c r="A228" s="134">
        <v>188</v>
      </c>
      <c r="B228" s="134" t="s">
        <v>403</v>
      </c>
      <c r="C228" s="134" t="s">
        <v>19</v>
      </c>
      <c r="D228" s="141">
        <v>0</v>
      </c>
      <c r="E228" s="141">
        <v>2</v>
      </c>
      <c r="F228" s="141">
        <v>0</v>
      </c>
      <c r="G228" s="141">
        <v>2</v>
      </c>
      <c r="H228" s="134">
        <v>-100</v>
      </c>
      <c r="I228" s="134">
        <v>-100</v>
      </c>
      <c r="J228" s="134">
        <v>0</v>
      </c>
      <c r="K228" s="134">
        <v>0</v>
      </c>
      <c r="L228" s="134">
        <v>0.03</v>
      </c>
      <c r="M228" s="134">
        <v>0.03</v>
      </c>
      <c r="N228" s="55"/>
    </row>
    <row r="229" spans="1:14" hidden="1">
      <c r="A229" s="134">
        <v>189</v>
      </c>
      <c r="B229" s="134" t="s">
        <v>407</v>
      </c>
      <c r="C229" s="134" t="s">
        <v>19</v>
      </c>
      <c r="D229" s="141">
        <v>0</v>
      </c>
      <c r="E229" s="141">
        <v>1</v>
      </c>
      <c r="F229" s="141">
        <v>0</v>
      </c>
      <c r="G229" s="141">
        <v>1</v>
      </c>
      <c r="H229" s="134">
        <v>-100</v>
      </c>
      <c r="I229" s="134">
        <v>-100</v>
      </c>
      <c r="J229" s="134">
        <v>0</v>
      </c>
      <c r="K229" s="134">
        <v>0</v>
      </c>
      <c r="L229" s="134">
        <v>0.01</v>
      </c>
      <c r="M229" s="134">
        <v>0.01</v>
      </c>
      <c r="N229" s="55"/>
    </row>
    <row r="230" spans="1:14" hidden="1">
      <c r="A230" s="134">
        <v>190</v>
      </c>
      <c r="B230" s="134" t="s">
        <v>339</v>
      </c>
      <c r="C230" s="134" t="s">
        <v>19</v>
      </c>
      <c r="D230" s="141">
        <v>0</v>
      </c>
      <c r="E230" s="141">
        <v>1</v>
      </c>
      <c r="F230" s="141">
        <v>0</v>
      </c>
      <c r="G230" s="141">
        <v>1</v>
      </c>
      <c r="H230" s="134">
        <v>-100</v>
      </c>
      <c r="I230" s="134">
        <v>-100</v>
      </c>
      <c r="J230" s="134">
        <v>0</v>
      </c>
      <c r="K230" s="134">
        <v>0</v>
      </c>
      <c r="L230" s="134">
        <v>0.01</v>
      </c>
      <c r="M230" s="134">
        <v>0.01</v>
      </c>
      <c r="N230" s="55"/>
    </row>
    <row r="231" spans="1:14" hidden="1">
      <c r="A231" s="134">
        <v>191</v>
      </c>
      <c r="B231" s="134" t="s">
        <v>395</v>
      </c>
      <c r="C231" s="134" t="s">
        <v>19</v>
      </c>
      <c r="D231" s="141">
        <v>0</v>
      </c>
      <c r="E231" s="141">
        <v>1</v>
      </c>
      <c r="F231" s="141">
        <v>0</v>
      </c>
      <c r="G231" s="141">
        <v>1</v>
      </c>
      <c r="H231" s="134">
        <v>-100</v>
      </c>
      <c r="I231" s="134">
        <v>-100</v>
      </c>
      <c r="J231" s="134">
        <v>0</v>
      </c>
      <c r="K231" s="134">
        <v>0</v>
      </c>
      <c r="L231" s="134">
        <v>0.01</v>
      </c>
      <c r="M231" s="134">
        <v>0.01</v>
      </c>
      <c r="N231" s="55"/>
    </row>
    <row r="232" spans="1:14" hidden="1">
      <c r="A232" s="134">
        <v>192</v>
      </c>
      <c r="B232" s="134" t="s">
        <v>981</v>
      </c>
      <c r="C232" s="134" t="s">
        <v>19</v>
      </c>
      <c r="D232" s="141">
        <v>0</v>
      </c>
      <c r="E232" s="141">
        <v>1</v>
      </c>
      <c r="F232" s="141">
        <v>0</v>
      </c>
      <c r="G232" s="141">
        <v>1</v>
      </c>
      <c r="H232" s="134">
        <v>-100</v>
      </c>
      <c r="I232" s="134">
        <v>-100</v>
      </c>
      <c r="J232" s="134">
        <v>0</v>
      </c>
      <c r="K232" s="134">
        <v>0</v>
      </c>
      <c r="L232" s="134">
        <v>0.01</v>
      </c>
      <c r="M232" s="134">
        <v>0.01</v>
      </c>
      <c r="N232" s="55"/>
    </row>
    <row r="233" spans="1:14">
      <c r="A233" s="134">
        <v>193</v>
      </c>
      <c r="B233" s="134" t="s">
        <v>979</v>
      </c>
      <c r="C233" s="134" t="s">
        <v>20</v>
      </c>
      <c r="D233" s="141">
        <v>0</v>
      </c>
      <c r="E233" s="141">
        <v>1</v>
      </c>
      <c r="F233" s="141">
        <v>0</v>
      </c>
      <c r="G233" s="141">
        <v>1</v>
      </c>
      <c r="H233" s="134">
        <v>-100</v>
      </c>
      <c r="I233" s="134">
        <v>-100</v>
      </c>
      <c r="J233" s="134">
        <v>0</v>
      </c>
      <c r="K233" s="134">
        <v>0</v>
      </c>
      <c r="L233" s="134">
        <v>0.01</v>
      </c>
      <c r="M233" s="134">
        <v>0.01</v>
      </c>
      <c r="N233" s="55"/>
    </row>
    <row r="234" spans="1:14" hidden="1">
      <c r="A234" s="134">
        <v>194</v>
      </c>
      <c r="B234" s="134" t="s">
        <v>910</v>
      </c>
      <c r="C234" s="134" t="s">
        <v>19</v>
      </c>
      <c r="D234" s="141">
        <v>0</v>
      </c>
      <c r="E234" s="141">
        <v>1</v>
      </c>
      <c r="F234" s="141">
        <v>0</v>
      </c>
      <c r="G234" s="141">
        <v>1</v>
      </c>
      <c r="H234" s="134">
        <v>-100</v>
      </c>
      <c r="I234" s="134">
        <v>-100</v>
      </c>
      <c r="J234" s="134">
        <v>0</v>
      </c>
      <c r="K234" s="134">
        <v>0</v>
      </c>
      <c r="L234" s="134">
        <v>0.01</v>
      </c>
      <c r="M234" s="134">
        <v>0.01</v>
      </c>
      <c r="N234" s="55"/>
    </row>
    <row r="235" spans="1:14">
      <c r="A235" s="134">
        <v>195</v>
      </c>
      <c r="B235" s="134" t="s">
        <v>520</v>
      </c>
      <c r="C235" s="134" t="s">
        <v>20</v>
      </c>
      <c r="D235" s="141">
        <v>0</v>
      </c>
      <c r="E235" s="141">
        <v>1</v>
      </c>
      <c r="F235" s="141">
        <v>0</v>
      </c>
      <c r="G235" s="141">
        <v>1</v>
      </c>
      <c r="H235" s="134">
        <v>-100</v>
      </c>
      <c r="I235" s="134">
        <v>-100</v>
      </c>
      <c r="J235" s="134">
        <v>0</v>
      </c>
      <c r="K235" s="134">
        <v>0</v>
      </c>
      <c r="L235" s="134">
        <v>0.01</v>
      </c>
      <c r="M235" s="134">
        <v>0.01</v>
      </c>
    </row>
    <row r="236" spans="1:14">
      <c r="A236" s="134">
        <v>196</v>
      </c>
      <c r="B236" s="134" t="s">
        <v>216</v>
      </c>
      <c r="C236" s="134" t="s">
        <v>20</v>
      </c>
      <c r="D236" s="141">
        <v>0</v>
      </c>
      <c r="E236" s="141">
        <v>1</v>
      </c>
      <c r="F236" s="141">
        <v>0</v>
      </c>
      <c r="G236" s="141">
        <v>1</v>
      </c>
      <c r="H236" s="134">
        <v>-100</v>
      </c>
      <c r="I236" s="134">
        <v>-100</v>
      </c>
      <c r="J236" s="134">
        <v>0</v>
      </c>
      <c r="K236" s="134">
        <v>0</v>
      </c>
      <c r="L236" s="134">
        <v>0.01</v>
      </c>
      <c r="M236" s="134">
        <v>0.01</v>
      </c>
    </row>
    <row r="237" spans="1:14">
      <c r="A237" s="134"/>
      <c r="B237" s="134" t="s">
        <v>425</v>
      </c>
      <c r="C237" s="134"/>
      <c r="D237" s="141">
        <f>SUBTOTAL(109,getAggRechargeModels6[antalPerioden])</f>
        <v>4914</v>
      </c>
      <c r="E237" s="141">
        <f>SUBTOTAL(109,getAggRechargeModels6[antalFGPeriod])</f>
        <v>4025</v>
      </c>
      <c r="F237" s="141">
        <f>SUBTOTAL(109,getAggRechargeModels6[antalÅret])</f>
        <v>4914</v>
      </c>
      <c r="G237" s="141">
        <f>SUBTOTAL(109,getAggRechargeModels6[antalFGAr])</f>
        <v>4025</v>
      </c>
      <c r="H237" s="136">
        <f>IF(getAggRechargeModels6[[#Totals],[antalFGPeriod]] &gt;0,(getAggRechargeModels6[[#Totals],[antalPerioden]] - getAggRechargeModels6[[#Totals],[antalFGPeriod]] ) / getAggRechargeModels6[[#Totals],[antalFGPeriod]] *100,0)</f>
        <v>22.086956521739133</v>
      </c>
      <c r="I237" s="136">
        <f>IF(getAggRechargeModels6[[#Totals],[antalFGAr]] &gt; 0,( getAggRechargeModels6[[#Totals],[antalÅret]] - getAggRechargeModels6[[#Totals],[antalFGAr]] ) / getAggRechargeModels6[[#Totals],[antalFGAr]] * 100,0)</f>
        <v>22.086956521739133</v>
      </c>
      <c r="J237" s="142">
        <f>IF(getAggModelsPB[[#Totals],[antalPerioden]] &gt; 0,getAggRechargeModels6[[#Totals],[antalPerioden]]  / getAggModelsPB[[#Totals],[antalPerioden]] * 100,0)</f>
        <v>28.629690048939644</v>
      </c>
      <c r="K237" s="142">
        <f>IF(getAggModelsPB[[#Totals],[antalÅret]] &gt; 0,getAggRechargeModels6[[#Totals],[antalÅret]]  / getAggModelsPB[[#Totals],[antalÅret]] * 100,0)</f>
        <v>28.629690048939644</v>
      </c>
      <c r="L237" s="142">
        <f>IF(getAggModelsPB[[#Totals],[antalFGPeriod]] &gt; 0,getAggRechargeModels6[[#Totals],[antalFGPeriod]]  / getAggModelsPB[[#Totals],[antalFGPeriod]] * 100,0)</f>
        <v>27.566605027052944</v>
      </c>
      <c r="M237" s="142">
        <f>IF(getAggModelsPB[[#Totals],[antalFGAr]] &gt; 0,getAggRechargeModels6[[#Totals],[antalFGAr]]  / getAggModelsPB[[#Totals],[antalFGAr]] * 100,0)</f>
        <v>27.566605027052944</v>
      </c>
    </row>
    <row r="238" spans="1:14">
      <c r="A238" s="134"/>
      <c r="B238" s="134"/>
      <c r="C238" s="134"/>
      <c r="D238" s="141"/>
      <c r="E238" s="141"/>
      <c r="F238" s="141"/>
      <c r="G238" s="141"/>
      <c r="H238" s="136"/>
      <c r="I238" s="136"/>
      <c r="J238" s="142"/>
      <c r="K238" s="142"/>
      <c r="L238" s="142"/>
      <c r="M238" s="142"/>
    </row>
    <row r="239" spans="1:14">
      <c r="A239" s="134"/>
      <c r="B239" s="134"/>
      <c r="C239" s="134"/>
      <c r="D239" s="141"/>
      <c r="E239" s="141"/>
      <c r="F239" s="141"/>
      <c r="G239" s="141"/>
      <c r="H239" s="134"/>
      <c r="I239" s="134"/>
      <c r="J239" s="134"/>
      <c r="K239" s="134"/>
      <c r="L239" s="134"/>
      <c r="M239" s="134"/>
    </row>
    <row r="240" spans="1:14">
      <c r="A240" s="134"/>
      <c r="B240" s="134"/>
      <c r="C240" s="134"/>
      <c r="D240" s="141"/>
      <c r="E240" s="141"/>
      <c r="F240" s="141"/>
      <c r="G240" s="141"/>
      <c r="H240" s="134"/>
      <c r="I240" s="134"/>
      <c r="J240" s="134"/>
      <c r="K240" s="134"/>
      <c r="L240" s="134"/>
      <c r="M240" s="134"/>
    </row>
    <row r="241" spans="1:13">
      <c r="A241" s="134"/>
      <c r="B241" s="134"/>
      <c r="C241" s="134"/>
      <c r="D241" s="141"/>
      <c r="E241" s="141"/>
      <c r="F241" s="141"/>
      <c r="G241" s="141"/>
      <c r="H241" s="134"/>
      <c r="I241" s="134"/>
      <c r="J241" s="134"/>
      <c r="K241" s="134"/>
      <c r="L241" s="134"/>
      <c r="M241" s="134"/>
    </row>
    <row r="242" spans="1:13">
      <c r="A242" s="134"/>
      <c r="B242" s="134"/>
      <c r="C242" s="134"/>
      <c r="D242" s="141"/>
      <c r="E242" s="141"/>
      <c r="F242" s="141"/>
      <c r="G242" s="141"/>
      <c r="H242" s="134"/>
      <c r="I242" s="134"/>
      <c r="J242" s="134"/>
      <c r="K242" s="134"/>
      <c r="L242" s="134"/>
      <c r="M242" s="134"/>
    </row>
    <row r="243" spans="1:13">
      <c r="A243" s="134"/>
      <c r="B243" s="134"/>
      <c r="C243" s="134"/>
      <c r="D243" s="141"/>
      <c r="E243" s="141"/>
      <c r="F243" s="141"/>
      <c r="G243" s="141"/>
      <c r="H243" s="134"/>
      <c r="I243" s="134"/>
      <c r="J243" s="134"/>
      <c r="K243" s="134"/>
      <c r="L243" s="134"/>
      <c r="M243" s="134"/>
    </row>
    <row r="244" spans="1:13">
      <c r="A244" s="134"/>
      <c r="B244" s="134"/>
      <c r="C244" s="134"/>
      <c r="D244" s="141"/>
      <c r="E244" s="141"/>
      <c r="F244" s="141"/>
      <c r="G244" s="141"/>
      <c r="H244" s="134"/>
      <c r="I244" s="134"/>
      <c r="J244" s="134"/>
      <c r="K244" s="134"/>
      <c r="L244" s="134"/>
      <c r="M244" s="134"/>
    </row>
    <row r="245" spans="1:13">
      <c r="A245" s="134"/>
      <c r="B245" s="134"/>
      <c r="C245" s="134"/>
      <c r="D245" s="141"/>
      <c r="E245" s="141"/>
      <c r="F245" s="141"/>
      <c r="G245" s="141"/>
      <c r="H245" s="134"/>
      <c r="I245" s="134"/>
      <c r="J245" s="134"/>
      <c r="K245" s="134"/>
      <c r="L245" s="134"/>
      <c r="M245" s="134"/>
    </row>
    <row r="246" spans="1:13">
      <c r="A246" s="134"/>
      <c r="B246" s="134"/>
      <c r="C246" s="134"/>
      <c r="D246" s="141"/>
      <c r="E246" s="141"/>
      <c r="F246" s="141"/>
      <c r="G246" s="141"/>
      <c r="H246" s="134"/>
      <c r="I246" s="134"/>
      <c r="J246" s="134"/>
      <c r="K246" s="134"/>
      <c r="L246" s="134"/>
      <c r="M246" s="134"/>
    </row>
    <row r="247" spans="1:13">
      <c r="A247" s="134"/>
      <c r="B247" s="134"/>
      <c r="C247" s="134"/>
      <c r="D247" s="141"/>
      <c r="E247" s="141"/>
      <c r="F247" s="141"/>
      <c r="G247" s="141"/>
      <c r="H247" s="134"/>
      <c r="I247" s="134"/>
      <c r="J247" s="134"/>
      <c r="K247" s="134"/>
      <c r="L247" s="134"/>
      <c r="M247" s="134"/>
    </row>
    <row r="248" spans="1:13">
      <c r="A248" s="134"/>
      <c r="B248" s="134"/>
      <c r="C248" s="134"/>
      <c r="D248" s="141"/>
      <c r="E248" s="141"/>
      <c r="F248" s="141"/>
      <c r="G248" s="141"/>
      <c r="H248" s="134"/>
      <c r="I248" s="134"/>
      <c r="J248" s="134"/>
      <c r="K248" s="134"/>
      <c r="L248" s="134"/>
      <c r="M248" s="134"/>
    </row>
    <row r="249" spans="1:13">
      <c r="A249" s="134"/>
      <c r="B249" s="134"/>
      <c r="C249" s="134"/>
      <c r="D249" s="141"/>
      <c r="E249" s="141"/>
      <c r="F249" s="141"/>
      <c r="G249" s="141"/>
      <c r="H249" s="134"/>
      <c r="I249" s="134"/>
      <c r="J249" s="134"/>
      <c r="K249" s="134"/>
      <c r="L249" s="134"/>
      <c r="M249" s="134"/>
    </row>
    <row r="250" spans="1:13">
      <c r="A250" s="134"/>
      <c r="B250" s="134"/>
      <c r="C250" s="134"/>
      <c r="D250" s="141"/>
      <c r="E250" s="141"/>
      <c r="F250" s="141"/>
      <c r="G250" s="141"/>
      <c r="H250" s="134"/>
      <c r="I250" s="134"/>
      <c r="J250" s="134"/>
      <c r="K250" s="134"/>
      <c r="L250" s="134"/>
      <c r="M250" s="134"/>
    </row>
    <row r="251" spans="1:13">
      <c r="A251" s="134"/>
      <c r="B251" s="134"/>
      <c r="C251" s="134"/>
      <c r="D251" s="141"/>
      <c r="E251" s="141"/>
      <c r="F251" s="141"/>
      <c r="G251" s="141"/>
      <c r="H251" s="134"/>
      <c r="I251" s="134"/>
      <c r="J251" s="134"/>
      <c r="K251" s="134"/>
      <c r="L251" s="134"/>
      <c r="M251" s="134"/>
    </row>
    <row r="252" spans="1:13">
      <c r="A252" s="134"/>
      <c r="B252" s="134"/>
      <c r="C252" s="134"/>
      <c r="D252" s="141"/>
      <c r="E252" s="141"/>
      <c r="F252" s="141"/>
      <c r="G252" s="141"/>
      <c r="H252" s="134"/>
      <c r="I252" s="134"/>
      <c r="J252" s="134"/>
      <c r="K252" s="134"/>
      <c r="L252" s="134"/>
      <c r="M252" s="134"/>
    </row>
    <row r="253" spans="1:13">
      <c r="A253" s="134"/>
      <c r="B253" s="134"/>
      <c r="C253" s="134"/>
      <c r="D253" s="141"/>
      <c r="E253" s="141"/>
      <c r="F253" s="141"/>
      <c r="G253" s="141"/>
      <c r="H253" s="134"/>
      <c r="I253" s="134"/>
      <c r="J253" s="134"/>
      <c r="K253" s="134"/>
      <c r="L253" s="134"/>
      <c r="M253" s="134"/>
    </row>
    <row r="254" spans="1:13">
      <c r="A254" s="134"/>
      <c r="B254" s="134"/>
      <c r="C254" s="134"/>
      <c r="D254" s="141"/>
      <c r="E254" s="141"/>
      <c r="F254" s="141"/>
      <c r="G254" s="141"/>
      <c r="H254" s="134"/>
      <c r="I254" s="134"/>
      <c r="J254" s="134"/>
      <c r="K254" s="134"/>
      <c r="L254" s="134"/>
      <c r="M254" s="134"/>
    </row>
    <row r="255" spans="1:13">
      <c r="A255" s="134"/>
      <c r="B255" s="134"/>
      <c r="C255" s="134"/>
      <c r="D255" s="141"/>
      <c r="E255" s="141"/>
      <c r="F255" s="141"/>
      <c r="G255" s="141"/>
      <c r="H255" s="134"/>
      <c r="I255" s="134"/>
      <c r="J255" s="134"/>
      <c r="K255" s="134"/>
      <c r="L255" s="134"/>
      <c r="M255" s="134"/>
    </row>
    <row r="256" spans="1:13">
      <c r="A256" s="134"/>
      <c r="B256" s="134"/>
      <c r="C256" s="134"/>
      <c r="D256" s="141"/>
      <c r="E256" s="141"/>
      <c r="F256" s="141"/>
      <c r="G256" s="141"/>
      <c r="H256" s="134"/>
      <c r="I256" s="134"/>
      <c r="J256" s="134"/>
      <c r="K256" s="134"/>
      <c r="L256" s="134"/>
      <c r="M256" s="134"/>
    </row>
    <row r="257" spans="1:13">
      <c r="A257" s="134"/>
      <c r="B257" s="134"/>
      <c r="C257" s="134"/>
      <c r="D257" s="141"/>
      <c r="E257" s="141"/>
      <c r="F257" s="141"/>
      <c r="G257" s="141"/>
      <c r="H257" s="134"/>
      <c r="I257" s="134"/>
      <c r="J257" s="134"/>
      <c r="K257" s="134"/>
      <c r="L257" s="134"/>
      <c r="M257" s="134"/>
    </row>
    <row r="258" spans="1:13">
      <c r="A258" s="134"/>
      <c r="B258" s="134"/>
      <c r="C258" s="134"/>
      <c r="D258" s="141"/>
      <c r="E258" s="141"/>
      <c r="F258" s="141"/>
      <c r="G258" s="141"/>
      <c r="H258" s="134"/>
      <c r="I258" s="134"/>
      <c r="J258" s="134"/>
      <c r="K258" s="134"/>
      <c r="L258" s="134"/>
      <c r="M258" s="134"/>
    </row>
    <row r="259" spans="1:13">
      <c r="A259" s="134"/>
      <c r="B259" s="134"/>
      <c r="C259" s="134"/>
      <c r="D259" s="141"/>
      <c r="E259" s="141"/>
      <c r="F259" s="141"/>
      <c r="G259" s="141"/>
      <c r="H259" s="134"/>
      <c r="I259" s="134"/>
      <c r="J259" s="134"/>
      <c r="K259" s="134"/>
      <c r="L259" s="134"/>
      <c r="M259" s="134"/>
    </row>
    <row r="260" spans="1:13">
      <c r="A260" s="134"/>
      <c r="B260" s="134"/>
      <c r="C260" s="134"/>
      <c r="D260" s="141"/>
      <c r="E260" s="141"/>
      <c r="F260" s="141"/>
      <c r="G260" s="141"/>
      <c r="H260" s="134"/>
      <c r="I260" s="134"/>
      <c r="J260" s="134"/>
      <c r="K260" s="134"/>
      <c r="L260" s="134"/>
      <c r="M260" s="134"/>
    </row>
    <row r="261" spans="1:13">
      <c r="A261" s="134"/>
      <c r="B261" s="134"/>
      <c r="C261" s="134"/>
      <c r="D261" s="141"/>
      <c r="E261" s="141"/>
      <c r="F261" s="141"/>
      <c r="G261" s="141"/>
      <c r="H261" s="134"/>
      <c r="I261" s="134"/>
      <c r="J261" s="134"/>
      <c r="K261" s="134"/>
      <c r="L261" s="134"/>
      <c r="M261" s="134"/>
    </row>
    <row r="262" spans="1:13">
      <c r="A262" s="134"/>
      <c r="B262" s="134"/>
      <c r="C262" s="134"/>
      <c r="D262" s="141"/>
      <c r="E262" s="141"/>
      <c r="F262" s="141"/>
      <c r="G262" s="141"/>
      <c r="H262" s="134"/>
      <c r="I262" s="134"/>
      <c r="J262" s="134"/>
      <c r="K262" s="134"/>
      <c r="L262" s="134"/>
      <c r="M262" s="134"/>
    </row>
    <row r="263" spans="1:13">
      <c r="A263" s="134"/>
      <c r="B263" s="134"/>
      <c r="C263" s="134"/>
      <c r="D263" s="141"/>
      <c r="E263" s="141"/>
      <c r="F263" s="141"/>
      <c r="G263" s="141"/>
      <c r="H263" s="134"/>
      <c r="I263" s="134"/>
      <c r="J263" s="134"/>
      <c r="K263" s="134"/>
      <c r="L263" s="134"/>
      <c r="M263" s="134"/>
    </row>
    <row r="264" spans="1:13">
      <c r="A264" s="134"/>
      <c r="B264" s="134"/>
      <c r="C264" s="134"/>
      <c r="D264" s="141"/>
      <c r="E264" s="141"/>
      <c r="F264" s="141"/>
      <c r="G264" s="141"/>
      <c r="H264" s="134"/>
      <c r="I264" s="134"/>
      <c r="J264" s="134"/>
      <c r="K264" s="134"/>
      <c r="L264" s="134"/>
      <c r="M264" s="134"/>
    </row>
    <row r="265" spans="1:13">
      <c r="A265" s="134"/>
      <c r="B265" s="134"/>
      <c r="C265" s="134"/>
      <c r="D265" s="141"/>
      <c r="E265" s="141"/>
      <c r="F265" s="141"/>
      <c r="G265" s="141"/>
      <c r="H265" s="134"/>
      <c r="I265" s="134"/>
      <c r="J265" s="134"/>
      <c r="K265" s="134"/>
      <c r="L265" s="134"/>
      <c r="M265" s="134"/>
    </row>
    <row r="266" spans="1:13">
      <c r="A266" s="134"/>
      <c r="B266" s="134"/>
      <c r="C266" s="134"/>
      <c r="D266" s="141"/>
      <c r="E266" s="141"/>
      <c r="F266" s="141"/>
      <c r="G266" s="141"/>
      <c r="H266" s="134"/>
      <c r="I266" s="134"/>
      <c r="J266" s="134"/>
      <c r="K266" s="134"/>
      <c r="L266" s="134"/>
      <c r="M266" s="134"/>
    </row>
    <row r="267" spans="1:13">
      <c r="A267" s="134"/>
      <c r="B267" s="134"/>
      <c r="C267" s="134"/>
      <c r="D267" s="141"/>
      <c r="E267" s="141"/>
      <c r="F267" s="141"/>
      <c r="G267" s="141"/>
      <c r="H267" s="134"/>
      <c r="I267" s="134"/>
      <c r="J267" s="134"/>
      <c r="K267" s="134"/>
      <c r="L267" s="134"/>
      <c r="M267" s="134"/>
    </row>
    <row r="268" spans="1:13">
      <c r="A268" s="134"/>
      <c r="B268" s="134"/>
      <c r="C268" s="134"/>
      <c r="D268" s="141"/>
      <c r="E268" s="141"/>
      <c r="F268" s="141"/>
      <c r="G268" s="141"/>
      <c r="H268" s="134"/>
      <c r="I268" s="134"/>
      <c r="J268" s="134"/>
      <c r="K268" s="134"/>
      <c r="L268" s="134"/>
      <c r="M268" s="134"/>
    </row>
    <row r="269" spans="1:13">
      <c r="A269" s="134"/>
      <c r="B269" s="134"/>
      <c r="C269" s="134"/>
      <c r="D269" s="141"/>
      <c r="E269" s="141"/>
      <c r="F269" s="141"/>
      <c r="G269" s="141"/>
      <c r="H269" s="134"/>
      <c r="I269" s="134"/>
      <c r="J269" s="134"/>
      <c r="K269" s="134"/>
      <c r="L269" s="134"/>
      <c r="M269" s="134"/>
    </row>
    <row r="270" spans="1:13">
      <c r="A270" s="134"/>
      <c r="B270" s="134"/>
      <c r="C270" s="134"/>
      <c r="D270" s="141"/>
      <c r="E270" s="141"/>
      <c r="F270" s="141"/>
      <c r="G270" s="141"/>
      <c r="H270" s="134"/>
      <c r="I270" s="134"/>
      <c r="J270" s="134"/>
      <c r="K270" s="134"/>
      <c r="L270" s="134"/>
      <c r="M270" s="134"/>
    </row>
    <row r="271" spans="1:13">
      <c r="A271" s="134"/>
      <c r="B271" s="134"/>
      <c r="C271" s="134"/>
      <c r="D271" s="141"/>
      <c r="E271" s="141"/>
      <c r="F271" s="141"/>
      <c r="G271" s="141"/>
      <c r="H271" s="134"/>
      <c r="I271" s="134"/>
      <c r="J271" s="134"/>
      <c r="K271" s="134"/>
      <c r="L271" s="134"/>
      <c r="M271" s="134"/>
    </row>
    <row r="272" spans="1:13">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88" spans="1:13">
      <c r="A288" t="s">
        <v>620</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89"/>
  <sheetViews>
    <sheetView workbookViewId="0">
      <selection activeCell="S36" sqref="S36"/>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566</v>
      </c>
      <c r="P2" s="66"/>
      <c r="Q2" s="66"/>
      <c r="R2" s="66"/>
      <c r="S2" s="66"/>
      <c r="T2" s="66"/>
    </row>
    <row r="3" spans="15:21">
      <c r="O3" s="25" t="s">
        <v>565</v>
      </c>
      <c r="P3" s="25"/>
      <c r="Q3" s="25"/>
      <c r="R3" s="25"/>
      <c r="S3" s="25"/>
      <c r="T3" s="25"/>
      <c r="U3" s="25"/>
    </row>
    <row r="4" spans="15:21">
      <c r="O4" s="6"/>
      <c r="P4" s="6"/>
      <c r="Q4" s="16"/>
      <c r="R4" s="16"/>
      <c r="S4" s="16"/>
      <c r="T4" s="16"/>
      <c r="U4" s="25"/>
    </row>
    <row r="5" spans="15:21" ht="16" thickBot="1">
      <c r="O5" s="19" t="s">
        <v>426</v>
      </c>
      <c r="P5" s="19">
        <v>2022</v>
      </c>
      <c r="Q5" s="19">
        <v>2023</v>
      </c>
      <c r="R5" s="19">
        <v>2024</v>
      </c>
      <c r="S5" s="25"/>
      <c r="T5" s="25"/>
      <c r="U5" s="25"/>
    </row>
    <row r="6" spans="15:21">
      <c r="O6" s="16" t="s">
        <v>2</v>
      </c>
      <c r="P6" s="33">
        <v>5363</v>
      </c>
      <c r="Q6" s="33">
        <v>3424</v>
      </c>
      <c r="R6" s="33">
        <v>4072</v>
      </c>
      <c r="S6" s="25"/>
      <c r="T6" s="25"/>
      <c r="U6" s="25"/>
    </row>
    <row r="7" spans="15:21">
      <c r="O7" s="16" t="s">
        <v>3</v>
      </c>
      <c r="P7" s="34">
        <v>5495</v>
      </c>
      <c r="Q7" s="34">
        <v>3842</v>
      </c>
      <c r="R7" s="34"/>
      <c r="S7" s="25"/>
      <c r="T7" s="25"/>
      <c r="U7" s="25"/>
    </row>
    <row r="8" spans="15:21">
      <c r="O8" s="16" t="s">
        <v>4</v>
      </c>
      <c r="P8" s="34">
        <v>6809</v>
      </c>
      <c r="Q8" s="34">
        <v>5540</v>
      </c>
      <c r="R8" s="34"/>
      <c r="S8" s="25"/>
      <c r="T8" s="25"/>
      <c r="U8" s="25"/>
    </row>
    <row r="9" spans="15:21">
      <c r="O9" s="16" t="s">
        <v>5</v>
      </c>
      <c r="P9" s="34">
        <v>5146</v>
      </c>
      <c r="Q9" s="34">
        <v>4549</v>
      </c>
      <c r="R9" s="34"/>
      <c r="S9" s="25"/>
      <c r="T9" s="25"/>
      <c r="U9" s="25"/>
    </row>
    <row r="10" spans="15:21">
      <c r="O10" s="16" t="s">
        <v>6</v>
      </c>
      <c r="P10" s="34">
        <v>6138</v>
      </c>
      <c r="Q10" s="34">
        <v>5975</v>
      </c>
      <c r="R10" s="34"/>
      <c r="S10" s="25"/>
      <c r="T10" s="25"/>
      <c r="U10" s="25"/>
    </row>
    <row r="11" spans="15:21">
      <c r="O11" s="16" t="s">
        <v>7</v>
      </c>
      <c r="P11" s="34">
        <v>6137</v>
      </c>
      <c r="Q11" s="34">
        <v>5798</v>
      </c>
      <c r="R11" s="34"/>
      <c r="S11" s="25"/>
      <c r="T11" s="25"/>
      <c r="U11" s="25"/>
    </row>
    <row r="12" spans="15:21">
      <c r="O12" s="16" t="s">
        <v>8</v>
      </c>
      <c r="P12" s="34">
        <v>4239</v>
      </c>
      <c r="Q12" s="34">
        <v>3882</v>
      </c>
      <c r="R12" s="34"/>
      <c r="S12" s="25"/>
      <c r="T12" s="25"/>
      <c r="U12" s="25"/>
    </row>
    <row r="13" spans="15:21">
      <c r="O13" s="16" t="s">
        <v>9</v>
      </c>
      <c r="P13" s="34">
        <v>3649</v>
      </c>
      <c r="Q13" s="34">
        <v>4557</v>
      </c>
      <c r="R13" s="34"/>
      <c r="S13" s="25"/>
      <c r="T13" s="25"/>
      <c r="U13" s="25"/>
    </row>
    <row r="14" spans="15:21">
      <c r="O14" s="16" t="s">
        <v>10</v>
      </c>
      <c r="P14" s="34">
        <v>4370</v>
      </c>
      <c r="Q14" s="34">
        <v>5337</v>
      </c>
      <c r="R14" s="34"/>
      <c r="S14" s="25"/>
      <c r="T14" s="25"/>
      <c r="U14" s="25"/>
    </row>
    <row r="15" spans="15:21">
      <c r="O15" s="16" t="s">
        <v>11</v>
      </c>
      <c r="P15" s="34">
        <v>5359</v>
      </c>
      <c r="Q15" s="34">
        <v>5749</v>
      </c>
      <c r="R15" s="34"/>
      <c r="S15" s="25"/>
      <c r="T15" s="25"/>
      <c r="U15" s="25"/>
    </row>
    <row r="16" spans="15:21">
      <c r="O16" s="16" t="s">
        <v>12</v>
      </c>
      <c r="P16" s="34">
        <v>5650</v>
      </c>
      <c r="Q16" s="34">
        <v>5307</v>
      </c>
      <c r="R16" s="34"/>
      <c r="S16" s="25"/>
      <c r="T16" s="25"/>
      <c r="U16" s="25"/>
    </row>
    <row r="17" spans="15:21" ht="16" thickBot="1">
      <c r="O17" s="26" t="s">
        <v>13</v>
      </c>
      <c r="P17" s="133">
        <v>8259</v>
      </c>
      <c r="Q17" s="133">
        <v>7064</v>
      </c>
      <c r="R17" s="133"/>
      <c r="S17" s="25"/>
      <c r="T17" s="25"/>
      <c r="U17" s="25"/>
    </row>
    <row r="18" spans="15:21">
      <c r="O18" s="6" t="s">
        <v>499</v>
      </c>
      <c r="P18" s="32">
        <f>SUMIF(R6:R17,"&gt;0",P6:P17)</f>
        <v>5363</v>
      </c>
      <c r="Q18" s="32">
        <f>SUMIF(R6:R17,"&gt;0",Q6:Q17)</f>
        <v>3424</v>
      </c>
      <c r="R18" s="32">
        <f>SUM(R6:R17)</f>
        <v>4072</v>
      </c>
      <c r="S18" s="25"/>
      <c r="T18" s="25"/>
      <c r="U18" s="25"/>
    </row>
    <row r="19" spans="15:21">
      <c r="O19" s="6" t="s">
        <v>498</v>
      </c>
      <c r="P19" s="29">
        <f>SUM(P6:P17)</f>
        <v>66614</v>
      </c>
      <c r="Q19" s="29">
        <f>SUM(Q6:Q17)</f>
        <v>61024</v>
      </c>
      <c r="R19" s="25"/>
      <c r="S19" s="25"/>
      <c r="T19" s="25"/>
      <c r="U19" s="25"/>
    </row>
    <row r="35" spans="1:15" ht="21" thickBot="1">
      <c r="A35" s="66" t="s">
        <v>604</v>
      </c>
      <c r="B35" s="66"/>
      <c r="C35" s="9"/>
      <c r="E35" s="274" t="s">
        <v>1187</v>
      </c>
    </row>
    <row r="36" spans="1:15" ht="20">
      <c r="A36" s="9"/>
    </row>
    <row r="37" spans="1:15">
      <c r="A37" s="7" t="s">
        <v>422</v>
      </c>
      <c r="B37" s="55"/>
      <c r="C37" s="55"/>
      <c r="D37" s="55"/>
      <c r="E37" s="55"/>
      <c r="F37" s="55"/>
      <c r="G37" s="55"/>
      <c r="H37" s="257" t="s">
        <v>423</v>
      </c>
      <c r="I37" s="257"/>
      <c r="J37" s="257"/>
      <c r="K37" s="257"/>
      <c r="L37" s="257"/>
      <c r="M37" s="257"/>
      <c r="N37" s="55"/>
      <c r="O37" s="55"/>
    </row>
    <row r="38" spans="1:15">
      <c r="A38" s="102"/>
      <c r="B38" s="113"/>
      <c r="C38" s="113"/>
      <c r="D38" s="258" t="s">
        <v>500</v>
      </c>
      <c r="E38" s="259"/>
      <c r="F38" s="260" t="s">
        <v>500</v>
      </c>
      <c r="G38" s="261"/>
      <c r="H38" s="260" t="s">
        <v>501</v>
      </c>
      <c r="I38" s="261"/>
      <c r="J38" s="260" t="s">
        <v>502</v>
      </c>
      <c r="K38" s="261"/>
      <c r="L38" s="260" t="s">
        <v>502</v>
      </c>
      <c r="M38" s="261"/>
      <c r="N38" s="55"/>
      <c r="O38" s="55"/>
    </row>
    <row r="39" spans="1:15">
      <c r="A39" s="102"/>
      <c r="B39" s="114" t="s">
        <v>424</v>
      </c>
      <c r="C39" s="115" t="s">
        <v>504</v>
      </c>
      <c r="D39" s="116" t="str">
        <f>Innehåll!D79</f>
        <v xml:space="preserve"> 2024-01</v>
      </c>
      <c r="E39" s="116" t="str">
        <f>Innehåll!D80</f>
        <v xml:space="preserve"> 2023-01</v>
      </c>
      <c r="F39" s="116" t="str">
        <f>Innehåll!D81</f>
        <v>YTD  2024</v>
      </c>
      <c r="G39" s="116" t="str">
        <f>Innehåll!D82</f>
        <v>YTD  2023</v>
      </c>
      <c r="H39" s="116" t="str">
        <f>D39</f>
        <v xml:space="preserve"> 2024-01</v>
      </c>
      <c r="I39" s="117" t="str">
        <f>F39</f>
        <v>YTD  2024</v>
      </c>
      <c r="J39" s="116" t="str">
        <f>D39</f>
        <v xml:space="preserve"> 2024-01</v>
      </c>
      <c r="K39" s="118" t="str">
        <f>F39</f>
        <v>YTD  2024</v>
      </c>
      <c r="L39" s="119" t="str">
        <f>E39</f>
        <v xml:space="preserve"> 2023-01</v>
      </c>
      <c r="M39" s="119" t="str">
        <f>G39</f>
        <v>YTD  2023</v>
      </c>
      <c r="N39" s="55"/>
      <c r="O39" s="55"/>
    </row>
    <row r="40" spans="1:15" ht="15.25" hidden="1" customHeight="1">
      <c r="A40" s="55" t="s">
        <v>24</v>
      </c>
      <c r="B40" s="55" t="s">
        <v>211</v>
      </c>
      <c r="C40" s="55" t="s">
        <v>212</v>
      </c>
      <c r="D40" s="55" t="s">
        <v>26</v>
      </c>
      <c r="E40" s="55" t="s">
        <v>27</v>
      </c>
      <c r="F40" s="55" t="s">
        <v>28</v>
      </c>
      <c r="G40" s="55" t="s">
        <v>29</v>
      </c>
      <c r="H40" s="55" t="s">
        <v>30</v>
      </c>
      <c r="I40" s="55" t="s">
        <v>31</v>
      </c>
      <c r="J40" s="55" t="s">
        <v>32</v>
      </c>
      <c r="K40" s="55" t="s">
        <v>33</v>
      </c>
      <c r="L40" s="55" t="s">
        <v>34</v>
      </c>
      <c r="M40" s="55" t="s">
        <v>35</v>
      </c>
      <c r="N40" s="55"/>
      <c r="O40" s="55"/>
    </row>
    <row r="41" spans="1:15">
      <c r="A41" s="55">
        <v>1</v>
      </c>
      <c r="B41" s="55" t="s">
        <v>369</v>
      </c>
      <c r="C41" s="55" t="s">
        <v>19</v>
      </c>
      <c r="D41" s="22">
        <v>744</v>
      </c>
      <c r="E41" s="22">
        <v>610</v>
      </c>
      <c r="F41" s="22">
        <v>744</v>
      </c>
      <c r="G41" s="22">
        <v>610</v>
      </c>
      <c r="H41" s="55">
        <v>21.97</v>
      </c>
      <c r="I41" s="55">
        <v>21.97</v>
      </c>
      <c r="J41" s="55">
        <v>8.26</v>
      </c>
      <c r="K41" s="55">
        <v>8.26</v>
      </c>
      <c r="L41" s="55">
        <v>8</v>
      </c>
      <c r="M41" s="55">
        <v>8</v>
      </c>
      <c r="N41" s="55"/>
      <c r="O41" s="55"/>
    </row>
    <row r="42" spans="1:15" hidden="1">
      <c r="A42" s="55">
        <v>2</v>
      </c>
      <c r="B42" s="55" t="s">
        <v>553</v>
      </c>
      <c r="C42" s="55" t="s">
        <v>20</v>
      </c>
      <c r="D42" s="22">
        <v>577</v>
      </c>
      <c r="E42" s="22">
        <v>102</v>
      </c>
      <c r="F42" s="22">
        <v>577</v>
      </c>
      <c r="G42" s="22">
        <v>102</v>
      </c>
      <c r="H42" s="55">
        <v>465.69</v>
      </c>
      <c r="I42" s="55">
        <v>465.69</v>
      </c>
      <c r="J42" s="55">
        <v>6.41</v>
      </c>
      <c r="K42" s="55">
        <v>6.41</v>
      </c>
      <c r="L42" s="55">
        <v>1.34</v>
      </c>
      <c r="M42" s="55">
        <v>1.34</v>
      </c>
      <c r="N42" s="55"/>
      <c r="O42" s="55"/>
    </row>
    <row r="43" spans="1:15" hidden="1">
      <c r="A43" s="55">
        <v>3</v>
      </c>
      <c r="B43" s="55" t="s">
        <v>397</v>
      </c>
      <c r="C43" s="55" t="s">
        <v>20</v>
      </c>
      <c r="D43" s="22">
        <v>567</v>
      </c>
      <c r="E43" s="22">
        <v>698</v>
      </c>
      <c r="F43" s="22">
        <v>567</v>
      </c>
      <c r="G43" s="22">
        <v>698</v>
      </c>
      <c r="H43" s="55">
        <v>-18.77</v>
      </c>
      <c r="I43" s="55">
        <v>-18.77</v>
      </c>
      <c r="J43" s="55">
        <v>6.29</v>
      </c>
      <c r="K43" s="55">
        <v>6.29</v>
      </c>
      <c r="L43" s="55">
        <v>9.15</v>
      </c>
      <c r="M43" s="55">
        <v>9.15</v>
      </c>
      <c r="N43" s="55"/>
      <c r="O43" s="55"/>
    </row>
    <row r="44" spans="1:15" hidden="1">
      <c r="A44" s="55">
        <v>4</v>
      </c>
      <c r="B44" s="55" t="s">
        <v>583</v>
      </c>
      <c r="C44" s="55" t="s">
        <v>20</v>
      </c>
      <c r="D44" s="22">
        <v>344</v>
      </c>
      <c r="E44" s="22">
        <v>372</v>
      </c>
      <c r="F44" s="22">
        <v>344</v>
      </c>
      <c r="G44" s="22">
        <v>372</v>
      </c>
      <c r="H44" s="55">
        <v>-7.53</v>
      </c>
      <c r="I44" s="55">
        <v>-7.53</v>
      </c>
      <c r="J44" s="55">
        <v>3.82</v>
      </c>
      <c r="K44" s="55">
        <v>3.82</v>
      </c>
      <c r="L44" s="55">
        <v>4.88</v>
      </c>
      <c r="M44" s="55">
        <v>4.88</v>
      </c>
      <c r="N44" s="55"/>
      <c r="O44" s="55"/>
    </row>
    <row r="45" spans="1:15">
      <c r="A45" s="55">
        <v>5</v>
      </c>
      <c r="B45" s="55" t="s">
        <v>384</v>
      </c>
      <c r="C45" s="55" t="s">
        <v>19</v>
      </c>
      <c r="D45" s="22">
        <v>305</v>
      </c>
      <c r="E45" s="22">
        <v>400</v>
      </c>
      <c r="F45" s="22">
        <v>305</v>
      </c>
      <c r="G45" s="22">
        <v>400</v>
      </c>
      <c r="H45" s="55">
        <v>-23.75</v>
      </c>
      <c r="I45" s="55">
        <v>-23.75</v>
      </c>
      <c r="J45" s="55">
        <v>3.39</v>
      </c>
      <c r="K45" s="55">
        <v>3.39</v>
      </c>
      <c r="L45" s="55">
        <v>5.24</v>
      </c>
      <c r="M45" s="55">
        <v>5.24</v>
      </c>
      <c r="N45" s="55"/>
      <c r="O45" s="55"/>
    </row>
    <row r="46" spans="1:15" hidden="1">
      <c r="A46" s="55">
        <v>6</v>
      </c>
      <c r="B46" s="55" t="s">
        <v>448</v>
      </c>
      <c r="C46" s="55" t="s">
        <v>20</v>
      </c>
      <c r="D46" s="22">
        <v>288</v>
      </c>
      <c r="E46" s="22">
        <v>276</v>
      </c>
      <c r="F46" s="22">
        <v>288</v>
      </c>
      <c r="G46" s="22">
        <v>276</v>
      </c>
      <c r="H46" s="55">
        <v>4.3499999999999996</v>
      </c>
      <c r="I46" s="55">
        <v>4.3499999999999996</v>
      </c>
      <c r="J46" s="55">
        <v>3.2</v>
      </c>
      <c r="K46" s="55">
        <v>3.2</v>
      </c>
      <c r="L46" s="55">
        <v>3.62</v>
      </c>
      <c r="M46" s="55">
        <v>3.62</v>
      </c>
      <c r="N46" s="55"/>
      <c r="O46" s="55"/>
    </row>
    <row r="47" spans="1:15" hidden="1">
      <c r="A47" s="55">
        <v>7</v>
      </c>
      <c r="B47" s="55" t="s">
        <v>548</v>
      </c>
      <c r="C47" s="55" t="s">
        <v>20</v>
      </c>
      <c r="D47" s="22">
        <v>286</v>
      </c>
      <c r="E47" s="22">
        <v>102</v>
      </c>
      <c r="F47" s="22">
        <v>286</v>
      </c>
      <c r="G47" s="22">
        <v>102</v>
      </c>
      <c r="H47" s="55">
        <v>180.39</v>
      </c>
      <c r="I47" s="55">
        <v>180.39</v>
      </c>
      <c r="J47" s="55">
        <v>3.17</v>
      </c>
      <c r="K47" s="55">
        <v>3.17</v>
      </c>
      <c r="L47" s="55">
        <v>1.34</v>
      </c>
      <c r="M47" s="55">
        <v>1.34</v>
      </c>
      <c r="N47" s="55"/>
      <c r="O47" s="55"/>
    </row>
    <row r="48" spans="1:15" hidden="1">
      <c r="A48" s="55">
        <v>8</v>
      </c>
      <c r="B48" s="55" t="s">
        <v>1122</v>
      </c>
      <c r="C48" s="55" t="s">
        <v>20</v>
      </c>
      <c r="D48" s="22">
        <v>274</v>
      </c>
      <c r="E48" s="22">
        <v>0</v>
      </c>
      <c r="F48" s="22">
        <v>274</v>
      </c>
      <c r="G48" s="22">
        <v>0</v>
      </c>
      <c r="H48" s="55">
        <v>0</v>
      </c>
      <c r="I48" s="55">
        <v>0</v>
      </c>
      <c r="J48" s="55">
        <v>3.04</v>
      </c>
      <c r="K48" s="55">
        <v>3.04</v>
      </c>
      <c r="L48" s="55">
        <v>0</v>
      </c>
      <c r="M48" s="55">
        <v>0</v>
      </c>
      <c r="N48" s="55"/>
      <c r="O48" s="55"/>
    </row>
    <row r="49" spans="1:15">
      <c r="A49" s="55">
        <v>9</v>
      </c>
      <c r="B49" s="55" t="s">
        <v>351</v>
      </c>
      <c r="C49" s="55" t="s">
        <v>19</v>
      </c>
      <c r="D49" s="22">
        <v>268</v>
      </c>
      <c r="E49" s="22">
        <v>171</v>
      </c>
      <c r="F49" s="22">
        <v>268</v>
      </c>
      <c r="G49" s="22">
        <v>171</v>
      </c>
      <c r="H49" s="55">
        <v>56.73</v>
      </c>
      <c r="I49" s="55">
        <v>56.73</v>
      </c>
      <c r="J49" s="55">
        <v>2.98</v>
      </c>
      <c r="K49" s="55">
        <v>2.98</v>
      </c>
      <c r="L49" s="55">
        <v>2.2400000000000002</v>
      </c>
      <c r="M49" s="55">
        <v>2.2400000000000002</v>
      </c>
      <c r="N49" s="55"/>
      <c r="O49" s="55"/>
    </row>
    <row r="50" spans="1:15">
      <c r="A50" s="55">
        <v>10</v>
      </c>
      <c r="B50" s="55" t="s">
        <v>629</v>
      </c>
      <c r="C50" s="55" t="s">
        <v>19</v>
      </c>
      <c r="D50" s="22">
        <v>233</v>
      </c>
      <c r="E50" s="22">
        <v>247</v>
      </c>
      <c r="F50" s="22">
        <v>233</v>
      </c>
      <c r="G50" s="22">
        <v>247</v>
      </c>
      <c r="H50" s="55">
        <v>-5.67</v>
      </c>
      <c r="I50" s="55">
        <v>-5.67</v>
      </c>
      <c r="J50" s="55">
        <v>2.59</v>
      </c>
      <c r="K50" s="55">
        <v>2.59</v>
      </c>
      <c r="L50" s="55">
        <v>3.24</v>
      </c>
      <c r="M50" s="55">
        <v>3.24</v>
      </c>
      <c r="N50" s="55"/>
      <c r="O50" s="55"/>
    </row>
    <row r="51" spans="1:15" hidden="1">
      <c r="A51" s="55">
        <v>11</v>
      </c>
      <c r="B51" s="55" t="s">
        <v>379</v>
      </c>
      <c r="C51" s="55" t="s">
        <v>20</v>
      </c>
      <c r="D51" s="22">
        <v>232</v>
      </c>
      <c r="E51" s="22">
        <v>97</v>
      </c>
      <c r="F51" s="22">
        <v>232</v>
      </c>
      <c r="G51" s="22">
        <v>97</v>
      </c>
      <c r="H51" s="55">
        <v>139.18</v>
      </c>
      <c r="I51" s="55">
        <v>139.18</v>
      </c>
      <c r="J51" s="55">
        <v>2.58</v>
      </c>
      <c r="K51" s="55">
        <v>2.58</v>
      </c>
      <c r="L51" s="55">
        <v>1.27</v>
      </c>
      <c r="M51" s="55">
        <v>1.27</v>
      </c>
      <c r="N51" s="55"/>
      <c r="O51" s="55"/>
    </row>
    <row r="52" spans="1:15">
      <c r="A52" s="55">
        <v>12</v>
      </c>
      <c r="B52" s="55" t="s">
        <v>1082</v>
      </c>
      <c r="C52" s="55" t="s">
        <v>19</v>
      </c>
      <c r="D52" s="22">
        <v>182</v>
      </c>
      <c r="E52" s="22">
        <v>0</v>
      </c>
      <c r="F52" s="22">
        <v>182</v>
      </c>
      <c r="G52" s="22">
        <v>0</v>
      </c>
      <c r="H52" s="55">
        <v>0</v>
      </c>
      <c r="I52" s="55">
        <v>0</v>
      </c>
      <c r="J52" s="55">
        <v>2.02</v>
      </c>
      <c r="K52" s="55">
        <v>2.02</v>
      </c>
      <c r="L52" s="55">
        <v>0</v>
      </c>
      <c r="M52" s="55">
        <v>0</v>
      </c>
      <c r="N52" s="55"/>
      <c r="O52" s="55"/>
    </row>
    <row r="53" spans="1:15">
      <c r="A53" s="55">
        <v>13</v>
      </c>
      <c r="B53" s="55" t="s">
        <v>217</v>
      </c>
      <c r="C53" s="55" t="s">
        <v>19</v>
      </c>
      <c r="D53" s="22">
        <v>164</v>
      </c>
      <c r="E53" s="22">
        <v>102</v>
      </c>
      <c r="F53" s="22">
        <v>164</v>
      </c>
      <c r="G53" s="22">
        <v>102</v>
      </c>
      <c r="H53" s="55">
        <v>60.78</v>
      </c>
      <c r="I53" s="55">
        <v>60.78</v>
      </c>
      <c r="J53" s="55">
        <v>1.82</v>
      </c>
      <c r="K53" s="55">
        <v>1.82</v>
      </c>
      <c r="L53" s="55">
        <v>1.34</v>
      </c>
      <c r="M53" s="55">
        <v>1.34</v>
      </c>
      <c r="N53" s="55"/>
      <c r="O53" s="55"/>
    </row>
    <row r="54" spans="1:15" hidden="1">
      <c r="A54" s="55">
        <v>14</v>
      </c>
      <c r="B54" s="55" t="s">
        <v>94</v>
      </c>
      <c r="C54" s="55" t="s">
        <v>20</v>
      </c>
      <c r="D54" s="22">
        <v>164</v>
      </c>
      <c r="E54" s="22">
        <v>72</v>
      </c>
      <c r="F54" s="22">
        <v>164</v>
      </c>
      <c r="G54" s="22">
        <v>72</v>
      </c>
      <c r="H54" s="55">
        <v>127.78</v>
      </c>
      <c r="I54" s="55">
        <v>127.78</v>
      </c>
      <c r="J54" s="55">
        <v>1.82</v>
      </c>
      <c r="K54" s="55">
        <v>1.82</v>
      </c>
      <c r="L54" s="55">
        <v>0.94</v>
      </c>
      <c r="M54" s="55">
        <v>0.94</v>
      </c>
      <c r="N54" s="55"/>
      <c r="O54" s="55"/>
    </row>
    <row r="55" spans="1:15">
      <c r="A55" s="55">
        <v>15</v>
      </c>
      <c r="B55" s="55" t="s">
        <v>355</v>
      </c>
      <c r="C55" s="55" t="s">
        <v>19</v>
      </c>
      <c r="D55" s="22">
        <v>164</v>
      </c>
      <c r="E55" s="22">
        <v>39</v>
      </c>
      <c r="F55" s="22">
        <v>164</v>
      </c>
      <c r="G55" s="22">
        <v>39</v>
      </c>
      <c r="H55" s="55">
        <v>320.51</v>
      </c>
      <c r="I55" s="55">
        <v>320.51</v>
      </c>
      <c r="J55" s="55">
        <v>1.82</v>
      </c>
      <c r="K55" s="55">
        <v>1.82</v>
      </c>
      <c r="L55" s="55">
        <v>0.51</v>
      </c>
      <c r="M55" s="55">
        <v>0.51</v>
      </c>
      <c r="N55" s="55"/>
      <c r="O55" s="55"/>
    </row>
    <row r="56" spans="1:15" hidden="1">
      <c r="A56" s="55">
        <v>16</v>
      </c>
      <c r="B56" s="55" t="s">
        <v>1087</v>
      </c>
      <c r="C56" s="55" t="s">
        <v>20</v>
      </c>
      <c r="D56" s="22">
        <v>160</v>
      </c>
      <c r="E56" s="22">
        <v>0</v>
      </c>
      <c r="F56" s="22">
        <v>160</v>
      </c>
      <c r="G56" s="22">
        <v>0</v>
      </c>
      <c r="H56" s="55">
        <v>0</v>
      </c>
      <c r="I56" s="55">
        <v>0</v>
      </c>
      <c r="J56" s="55">
        <v>1.78</v>
      </c>
      <c r="K56" s="55">
        <v>1.78</v>
      </c>
      <c r="L56" s="55">
        <v>0</v>
      </c>
      <c r="M56" s="55">
        <v>0</v>
      </c>
      <c r="N56" s="55"/>
      <c r="O56" s="55"/>
    </row>
    <row r="57" spans="1:15">
      <c r="A57" s="55">
        <v>17</v>
      </c>
      <c r="B57" s="55" t="s">
        <v>398</v>
      </c>
      <c r="C57" s="55" t="s">
        <v>19</v>
      </c>
      <c r="D57" s="22">
        <v>143</v>
      </c>
      <c r="E57" s="22">
        <v>15</v>
      </c>
      <c r="F57" s="22">
        <v>143</v>
      </c>
      <c r="G57" s="22">
        <v>15</v>
      </c>
      <c r="H57" s="55">
        <v>853.33</v>
      </c>
      <c r="I57" s="55">
        <v>853.33</v>
      </c>
      <c r="J57" s="55">
        <v>1.59</v>
      </c>
      <c r="K57" s="55">
        <v>1.59</v>
      </c>
      <c r="L57" s="55">
        <v>0.2</v>
      </c>
      <c r="M57" s="55">
        <v>0.2</v>
      </c>
      <c r="N57" s="55"/>
      <c r="O57" s="55"/>
    </row>
    <row r="58" spans="1:15" hidden="1">
      <c r="A58" s="55">
        <v>18</v>
      </c>
      <c r="B58" s="55" t="s">
        <v>55</v>
      </c>
      <c r="C58" s="55" t="s">
        <v>20</v>
      </c>
      <c r="D58" s="22">
        <v>142</v>
      </c>
      <c r="E58" s="22">
        <v>96</v>
      </c>
      <c r="F58" s="22">
        <v>142</v>
      </c>
      <c r="G58" s="22">
        <v>96</v>
      </c>
      <c r="H58" s="55">
        <v>47.92</v>
      </c>
      <c r="I58" s="55">
        <v>47.92</v>
      </c>
      <c r="J58" s="55">
        <v>1.58</v>
      </c>
      <c r="K58" s="55">
        <v>1.58</v>
      </c>
      <c r="L58" s="55">
        <v>1.26</v>
      </c>
      <c r="M58" s="55">
        <v>1.26</v>
      </c>
      <c r="N58" s="55"/>
      <c r="O58" s="55"/>
    </row>
    <row r="59" spans="1:15" hidden="1">
      <c r="A59" s="55">
        <v>19</v>
      </c>
      <c r="B59" s="55" t="s">
        <v>392</v>
      </c>
      <c r="C59" s="55" t="s">
        <v>20</v>
      </c>
      <c r="D59" s="22">
        <v>140</v>
      </c>
      <c r="E59" s="22">
        <v>59</v>
      </c>
      <c r="F59" s="22">
        <v>140</v>
      </c>
      <c r="G59" s="22">
        <v>59</v>
      </c>
      <c r="H59" s="55">
        <v>137.29</v>
      </c>
      <c r="I59" s="55">
        <v>137.29</v>
      </c>
      <c r="J59" s="55">
        <v>1.55</v>
      </c>
      <c r="K59" s="55">
        <v>1.55</v>
      </c>
      <c r="L59" s="55">
        <v>0.77</v>
      </c>
      <c r="M59" s="55">
        <v>0.77</v>
      </c>
      <c r="N59" s="55"/>
      <c r="O59" s="55"/>
    </row>
    <row r="60" spans="1:15" hidden="1">
      <c r="A60" s="55">
        <v>197</v>
      </c>
      <c r="B60" s="55" t="s">
        <v>408</v>
      </c>
      <c r="C60" s="55" t="s">
        <v>20</v>
      </c>
      <c r="D60" s="22">
        <v>128</v>
      </c>
      <c r="E60" s="22">
        <v>3</v>
      </c>
      <c r="F60" s="22">
        <v>128</v>
      </c>
      <c r="G60" s="22">
        <v>3</v>
      </c>
      <c r="H60" s="55">
        <v>4166.67</v>
      </c>
      <c r="I60" s="55">
        <v>4166.67</v>
      </c>
      <c r="J60" s="55">
        <v>1.42</v>
      </c>
      <c r="K60" s="55">
        <v>1.42</v>
      </c>
      <c r="L60" s="55">
        <v>0.04</v>
      </c>
      <c r="M60" s="55">
        <v>0.04</v>
      </c>
      <c r="N60" s="55"/>
      <c r="O60" s="55"/>
    </row>
    <row r="61" spans="1:15">
      <c r="A61" s="55">
        <v>20</v>
      </c>
      <c r="B61" s="55" t="s">
        <v>947</v>
      </c>
      <c r="C61" s="55" t="s">
        <v>19</v>
      </c>
      <c r="D61" s="22">
        <v>119</v>
      </c>
      <c r="E61" s="22">
        <v>9</v>
      </c>
      <c r="F61" s="22">
        <v>119</v>
      </c>
      <c r="G61" s="22">
        <v>9</v>
      </c>
      <c r="H61" s="55">
        <v>1222.22</v>
      </c>
      <c r="I61" s="55">
        <v>1222.22</v>
      </c>
      <c r="J61" s="55">
        <v>1.32</v>
      </c>
      <c r="K61" s="55">
        <v>1.32</v>
      </c>
      <c r="L61" s="55">
        <v>0.12</v>
      </c>
      <c r="M61" s="55">
        <v>0.12</v>
      </c>
      <c r="N61" s="55"/>
      <c r="O61" s="55"/>
    </row>
    <row r="62" spans="1:15">
      <c r="A62" s="55">
        <v>21</v>
      </c>
      <c r="B62" s="55" t="s">
        <v>1060</v>
      </c>
      <c r="C62" s="55" t="s">
        <v>19</v>
      </c>
      <c r="D62" s="22">
        <v>112</v>
      </c>
      <c r="E62" s="22">
        <v>0</v>
      </c>
      <c r="F62" s="22">
        <v>112</v>
      </c>
      <c r="G62" s="22">
        <v>0</v>
      </c>
      <c r="H62" s="55">
        <v>0</v>
      </c>
      <c r="I62" s="55">
        <v>0</v>
      </c>
      <c r="J62" s="55">
        <v>1.24</v>
      </c>
      <c r="K62" s="55">
        <v>1.24</v>
      </c>
      <c r="L62" s="55">
        <v>0</v>
      </c>
      <c r="M62" s="55">
        <v>0</v>
      </c>
      <c r="N62" s="55"/>
      <c r="O62" s="55"/>
    </row>
    <row r="63" spans="1:15" hidden="1">
      <c r="A63" s="55">
        <v>22</v>
      </c>
      <c r="B63" s="55" t="s">
        <v>526</v>
      </c>
      <c r="C63" s="55" t="s">
        <v>20</v>
      </c>
      <c r="D63" s="22">
        <v>109</v>
      </c>
      <c r="E63" s="22">
        <v>153</v>
      </c>
      <c r="F63" s="22">
        <v>109</v>
      </c>
      <c r="G63" s="22">
        <v>153</v>
      </c>
      <c r="H63" s="55">
        <v>-28.76</v>
      </c>
      <c r="I63" s="55">
        <v>-28.76</v>
      </c>
      <c r="J63" s="55">
        <v>1.21</v>
      </c>
      <c r="K63" s="55">
        <v>1.21</v>
      </c>
      <c r="L63" s="55">
        <v>2.0099999999999998</v>
      </c>
      <c r="M63" s="55">
        <v>2.0099999999999998</v>
      </c>
      <c r="N63" s="55"/>
      <c r="O63" s="55"/>
    </row>
    <row r="64" spans="1:15">
      <c r="A64" s="55">
        <v>23</v>
      </c>
      <c r="B64" s="55" t="s">
        <v>1096</v>
      </c>
      <c r="C64" s="55" t="s">
        <v>19</v>
      </c>
      <c r="D64" s="22">
        <v>106</v>
      </c>
      <c r="E64" s="22">
        <v>0</v>
      </c>
      <c r="F64" s="22">
        <v>106</v>
      </c>
      <c r="G64" s="22">
        <v>0</v>
      </c>
      <c r="H64" s="55">
        <v>0</v>
      </c>
      <c r="I64" s="55">
        <v>0</v>
      </c>
      <c r="J64" s="55">
        <v>1.18</v>
      </c>
      <c r="K64" s="55">
        <v>1.18</v>
      </c>
      <c r="L64" s="55">
        <v>0</v>
      </c>
      <c r="M64" s="55">
        <v>0</v>
      </c>
      <c r="N64" s="55"/>
      <c r="O64" s="55"/>
    </row>
    <row r="65" spans="1:15" hidden="1">
      <c r="A65" s="55">
        <v>24</v>
      </c>
      <c r="B65" s="55" t="s">
        <v>601</v>
      </c>
      <c r="C65" s="55" t="s">
        <v>20</v>
      </c>
      <c r="D65" s="22">
        <v>101</v>
      </c>
      <c r="E65" s="22">
        <v>23</v>
      </c>
      <c r="F65" s="22">
        <v>101</v>
      </c>
      <c r="G65" s="22">
        <v>23</v>
      </c>
      <c r="H65" s="55">
        <v>339.13</v>
      </c>
      <c r="I65" s="55">
        <v>339.13</v>
      </c>
      <c r="J65" s="55">
        <v>1.1200000000000001</v>
      </c>
      <c r="K65" s="55">
        <v>1.1200000000000001</v>
      </c>
      <c r="L65" s="55">
        <v>0.3</v>
      </c>
      <c r="M65" s="55">
        <v>0.3</v>
      </c>
      <c r="N65" s="55"/>
      <c r="O65" s="55"/>
    </row>
    <row r="66" spans="1:15" hidden="1">
      <c r="A66" s="55">
        <v>25</v>
      </c>
      <c r="B66" s="55" t="s">
        <v>576</v>
      </c>
      <c r="C66" s="55" t="s">
        <v>20</v>
      </c>
      <c r="D66" s="22">
        <v>95</v>
      </c>
      <c r="E66" s="22">
        <v>425</v>
      </c>
      <c r="F66" s="22">
        <v>95</v>
      </c>
      <c r="G66" s="22">
        <v>425</v>
      </c>
      <c r="H66" s="55">
        <v>-77.650000000000006</v>
      </c>
      <c r="I66" s="55">
        <v>-77.650000000000006</v>
      </c>
      <c r="J66" s="55">
        <v>1.05</v>
      </c>
      <c r="K66" s="55">
        <v>1.05</v>
      </c>
      <c r="L66" s="55">
        <v>5.57</v>
      </c>
      <c r="M66" s="55">
        <v>5.57</v>
      </c>
      <c r="N66" s="55"/>
      <c r="O66" s="55"/>
    </row>
    <row r="67" spans="1:15">
      <c r="A67" s="55">
        <v>26</v>
      </c>
      <c r="B67" s="55" t="s">
        <v>213</v>
      </c>
      <c r="C67" s="55" t="s">
        <v>19</v>
      </c>
      <c r="D67" s="22">
        <v>92</v>
      </c>
      <c r="E67" s="22">
        <v>44</v>
      </c>
      <c r="F67" s="22">
        <v>92</v>
      </c>
      <c r="G67" s="22">
        <v>44</v>
      </c>
      <c r="H67" s="55">
        <v>109.09</v>
      </c>
      <c r="I67" s="55">
        <v>109.09</v>
      </c>
      <c r="J67" s="55">
        <v>1.02</v>
      </c>
      <c r="K67" s="55">
        <v>1.02</v>
      </c>
      <c r="L67" s="55">
        <v>0.57999999999999996</v>
      </c>
      <c r="M67" s="55">
        <v>0.57999999999999996</v>
      </c>
      <c r="N67" s="55"/>
      <c r="O67" s="55"/>
    </row>
    <row r="68" spans="1:15" hidden="1">
      <c r="A68" s="55">
        <v>27</v>
      </c>
      <c r="B68" s="55" t="s">
        <v>131</v>
      </c>
      <c r="C68" s="55" t="s">
        <v>20</v>
      </c>
      <c r="D68" s="22">
        <v>92</v>
      </c>
      <c r="E68" s="22">
        <v>35</v>
      </c>
      <c r="F68" s="22">
        <v>92</v>
      </c>
      <c r="G68" s="22">
        <v>35</v>
      </c>
      <c r="H68" s="55">
        <v>162.86000000000001</v>
      </c>
      <c r="I68" s="55">
        <v>162.86000000000001</v>
      </c>
      <c r="J68" s="55">
        <v>1.02</v>
      </c>
      <c r="K68" s="55">
        <v>1.02</v>
      </c>
      <c r="L68" s="55">
        <v>0.46</v>
      </c>
      <c r="M68" s="55">
        <v>0.46</v>
      </c>
      <c r="N68" s="55"/>
      <c r="O68" s="55"/>
    </row>
    <row r="69" spans="1:15">
      <c r="A69" s="55">
        <v>28</v>
      </c>
      <c r="B69" s="55" t="s">
        <v>455</v>
      </c>
      <c r="C69" s="55" t="s">
        <v>19</v>
      </c>
      <c r="D69" s="22">
        <v>91</v>
      </c>
      <c r="E69" s="22">
        <v>81</v>
      </c>
      <c r="F69" s="22">
        <v>91</v>
      </c>
      <c r="G69" s="22">
        <v>81</v>
      </c>
      <c r="H69" s="55">
        <v>12.35</v>
      </c>
      <c r="I69" s="55">
        <v>12.35</v>
      </c>
      <c r="J69" s="55">
        <v>1.01</v>
      </c>
      <c r="K69" s="55">
        <v>1.01</v>
      </c>
      <c r="L69" s="55">
        <v>1.06</v>
      </c>
      <c r="M69" s="55">
        <v>1.06</v>
      </c>
      <c r="N69" s="55"/>
      <c r="O69" s="55"/>
    </row>
    <row r="70" spans="1:15" hidden="1">
      <c r="A70" s="55">
        <v>29</v>
      </c>
      <c r="B70" s="55" t="s">
        <v>519</v>
      </c>
      <c r="C70" s="55" t="s">
        <v>20</v>
      </c>
      <c r="D70" s="22">
        <v>89</v>
      </c>
      <c r="E70" s="22">
        <v>28</v>
      </c>
      <c r="F70" s="22">
        <v>89</v>
      </c>
      <c r="G70" s="22">
        <v>28</v>
      </c>
      <c r="H70" s="55">
        <v>217.86</v>
      </c>
      <c r="I70" s="55">
        <v>217.86</v>
      </c>
      <c r="J70" s="55">
        <v>0.99</v>
      </c>
      <c r="K70" s="55">
        <v>0.99</v>
      </c>
      <c r="L70" s="55">
        <v>0.37</v>
      </c>
      <c r="M70" s="55">
        <v>0.37</v>
      </c>
      <c r="N70" s="55"/>
      <c r="O70" s="55"/>
    </row>
    <row r="71" spans="1:15" hidden="1">
      <c r="A71" s="55">
        <v>30</v>
      </c>
      <c r="B71" s="55" t="s">
        <v>590</v>
      </c>
      <c r="C71" s="55" t="s">
        <v>20</v>
      </c>
      <c r="D71" s="22">
        <v>80</v>
      </c>
      <c r="E71" s="22">
        <v>84</v>
      </c>
      <c r="F71" s="22">
        <v>80</v>
      </c>
      <c r="G71" s="22">
        <v>84</v>
      </c>
      <c r="H71" s="55">
        <v>-4.76</v>
      </c>
      <c r="I71" s="55">
        <v>-4.76</v>
      </c>
      <c r="J71" s="55">
        <v>0.89</v>
      </c>
      <c r="K71" s="55">
        <v>0.89</v>
      </c>
      <c r="L71" s="55">
        <v>1.1000000000000001</v>
      </c>
      <c r="M71" s="55">
        <v>1.1000000000000001</v>
      </c>
      <c r="N71" s="55"/>
      <c r="O71" s="55"/>
    </row>
    <row r="72" spans="1:15">
      <c r="A72" s="55">
        <v>31</v>
      </c>
      <c r="B72" s="55" t="s">
        <v>370</v>
      </c>
      <c r="C72" s="55" t="s">
        <v>19</v>
      </c>
      <c r="D72" s="22">
        <v>74</v>
      </c>
      <c r="E72" s="22">
        <v>82</v>
      </c>
      <c r="F72" s="22">
        <v>74</v>
      </c>
      <c r="G72" s="22">
        <v>82</v>
      </c>
      <c r="H72" s="55">
        <v>-9.76</v>
      </c>
      <c r="I72" s="55">
        <v>-9.76</v>
      </c>
      <c r="J72" s="55">
        <v>0.82</v>
      </c>
      <c r="K72" s="55">
        <v>0.82</v>
      </c>
      <c r="L72" s="55">
        <v>1.07</v>
      </c>
      <c r="M72" s="55">
        <v>1.07</v>
      </c>
      <c r="N72" s="55"/>
      <c r="O72" s="55"/>
    </row>
    <row r="73" spans="1:15">
      <c r="A73" s="55">
        <v>32</v>
      </c>
      <c r="B73" s="55" t="s">
        <v>456</v>
      </c>
      <c r="C73" s="55" t="s">
        <v>19</v>
      </c>
      <c r="D73" s="22">
        <v>68</v>
      </c>
      <c r="E73" s="22">
        <v>24</v>
      </c>
      <c r="F73" s="22">
        <v>68</v>
      </c>
      <c r="G73" s="22">
        <v>24</v>
      </c>
      <c r="H73" s="55">
        <v>183.33</v>
      </c>
      <c r="I73" s="55">
        <v>183.33</v>
      </c>
      <c r="J73" s="55">
        <v>0.75</v>
      </c>
      <c r="K73" s="55">
        <v>0.75</v>
      </c>
      <c r="L73" s="55">
        <v>0.31</v>
      </c>
      <c r="M73" s="55">
        <v>0.31</v>
      </c>
      <c r="N73" s="55"/>
      <c r="O73" s="55"/>
    </row>
    <row r="74" spans="1:15">
      <c r="A74" s="55">
        <v>33</v>
      </c>
      <c r="B74" s="55" t="s">
        <v>352</v>
      </c>
      <c r="C74" s="55" t="s">
        <v>19</v>
      </c>
      <c r="D74" s="22">
        <v>66</v>
      </c>
      <c r="E74" s="22">
        <v>55</v>
      </c>
      <c r="F74" s="22">
        <v>66</v>
      </c>
      <c r="G74" s="22">
        <v>55</v>
      </c>
      <c r="H74" s="55">
        <v>20</v>
      </c>
      <c r="I74" s="55">
        <v>20</v>
      </c>
      <c r="J74" s="55">
        <v>0.73</v>
      </c>
      <c r="K74" s="55">
        <v>0.73</v>
      </c>
      <c r="L74" s="55">
        <v>0.72</v>
      </c>
      <c r="M74" s="55">
        <v>0.72</v>
      </c>
      <c r="N74" s="55"/>
      <c r="O74" s="55"/>
    </row>
    <row r="75" spans="1:15" hidden="1">
      <c r="A75" s="55">
        <v>34</v>
      </c>
      <c r="B75" s="55" t="s">
        <v>639</v>
      </c>
      <c r="C75" s="55" t="s">
        <v>20</v>
      </c>
      <c r="D75" s="22">
        <v>66</v>
      </c>
      <c r="E75" s="22">
        <v>45</v>
      </c>
      <c r="F75" s="22">
        <v>66</v>
      </c>
      <c r="G75" s="22">
        <v>45</v>
      </c>
      <c r="H75" s="55">
        <v>46.67</v>
      </c>
      <c r="I75" s="55">
        <v>46.67</v>
      </c>
      <c r="J75" s="55">
        <v>0.73</v>
      </c>
      <c r="K75" s="55">
        <v>0.73</v>
      </c>
      <c r="L75" s="55">
        <v>0.59</v>
      </c>
      <c r="M75" s="55">
        <v>0.59</v>
      </c>
      <c r="N75" s="55"/>
      <c r="O75" s="55"/>
    </row>
    <row r="76" spans="1:15">
      <c r="A76" s="55">
        <v>35</v>
      </c>
      <c r="B76" s="55" t="s">
        <v>376</v>
      </c>
      <c r="C76" s="55" t="s">
        <v>19</v>
      </c>
      <c r="D76" s="22">
        <v>65</v>
      </c>
      <c r="E76" s="22">
        <v>101</v>
      </c>
      <c r="F76" s="22">
        <v>65</v>
      </c>
      <c r="G76" s="22">
        <v>101</v>
      </c>
      <c r="H76" s="55">
        <v>-35.64</v>
      </c>
      <c r="I76" s="55">
        <v>-35.64</v>
      </c>
      <c r="J76" s="55">
        <v>0.72</v>
      </c>
      <c r="K76" s="55">
        <v>0.72</v>
      </c>
      <c r="L76" s="55">
        <v>1.32</v>
      </c>
      <c r="M76" s="55">
        <v>1.32</v>
      </c>
      <c r="N76" s="55"/>
      <c r="O76" s="55"/>
    </row>
    <row r="77" spans="1:15">
      <c r="A77" s="55">
        <v>36</v>
      </c>
      <c r="B77" s="55" t="s">
        <v>40</v>
      </c>
      <c r="C77" s="55" t="s">
        <v>19</v>
      </c>
      <c r="D77" s="22">
        <v>65</v>
      </c>
      <c r="E77" s="22">
        <v>5</v>
      </c>
      <c r="F77" s="22">
        <v>65</v>
      </c>
      <c r="G77" s="22">
        <v>5</v>
      </c>
      <c r="H77" s="55">
        <v>1200</v>
      </c>
      <c r="I77" s="55">
        <v>1200</v>
      </c>
      <c r="J77" s="55">
        <v>0.72</v>
      </c>
      <c r="K77" s="55">
        <v>0.72</v>
      </c>
      <c r="L77" s="55">
        <v>7.0000000000000007E-2</v>
      </c>
      <c r="M77" s="55">
        <v>7.0000000000000007E-2</v>
      </c>
      <c r="N77" s="55"/>
      <c r="O77" s="55"/>
    </row>
    <row r="78" spans="1:15">
      <c r="A78" s="55">
        <v>37</v>
      </c>
      <c r="B78" s="55" t="s">
        <v>387</v>
      </c>
      <c r="C78" s="55" t="s">
        <v>19</v>
      </c>
      <c r="D78" s="22">
        <v>63</v>
      </c>
      <c r="E78" s="22">
        <v>123</v>
      </c>
      <c r="F78" s="22">
        <v>63</v>
      </c>
      <c r="G78" s="22">
        <v>123</v>
      </c>
      <c r="H78" s="55">
        <v>-48.78</v>
      </c>
      <c r="I78" s="55">
        <v>-48.78</v>
      </c>
      <c r="J78" s="55">
        <v>0.7</v>
      </c>
      <c r="K78" s="55">
        <v>0.7</v>
      </c>
      <c r="L78" s="55">
        <v>1.61</v>
      </c>
      <c r="M78" s="55">
        <v>1.61</v>
      </c>
      <c r="N78" s="55"/>
      <c r="O78" s="55"/>
    </row>
    <row r="79" spans="1:15">
      <c r="A79" s="55">
        <v>38</v>
      </c>
      <c r="B79" s="55" t="s">
        <v>903</v>
      </c>
      <c r="C79" s="55" t="s">
        <v>19</v>
      </c>
      <c r="D79" s="22">
        <v>63</v>
      </c>
      <c r="E79" s="22">
        <v>85</v>
      </c>
      <c r="F79" s="22">
        <v>63</v>
      </c>
      <c r="G79" s="22">
        <v>85</v>
      </c>
      <c r="H79" s="55">
        <v>-25.88</v>
      </c>
      <c r="I79" s="55">
        <v>-25.88</v>
      </c>
      <c r="J79" s="55">
        <v>0.7</v>
      </c>
      <c r="K79" s="55">
        <v>0.7</v>
      </c>
      <c r="L79" s="55">
        <v>1.1100000000000001</v>
      </c>
      <c r="M79" s="55">
        <v>1.1100000000000001</v>
      </c>
      <c r="N79" s="55"/>
      <c r="O79" s="55"/>
    </row>
    <row r="80" spans="1:15" hidden="1">
      <c r="A80" s="55">
        <v>39</v>
      </c>
      <c r="B80" s="55" t="s">
        <v>215</v>
      </c>
      <c r="C80" s="55" t="s">
        <v>20</v>
      </c>
      <c r="D80" s="22">
        <v>62</v>
      </c>
      <c r="E80" s="22">
        <v>204</v>
      </c>
      <c r="F80" s="22">
        <v>62</v>
      </c>
      <c r="G80" s="22">
        <v>204</v>
      </c>
      <c r="H80" s="55">
        <v>-69.61</v>
      </c>
      <c r="I80" s="55">
        <v>-69.61</v>
      </c>
      <c r="J80" s="55">
        <v>0.69</v>
      </c>
      <c r="K80" s="55">
        <v>0.69</v>
      </c>
      <c r="L80" s="55">
        <v>2.67</v>
      </c>
      <c r="M80" s="55">
        <v>2.67</v>
      </c>
      <c r="N80" s="55"/>
      <c r="O80" s="55"/>
    </row>
    <row r="81" spans="1:15">
      <c r="A81" s="55">
        <v>40</v>
      </c>
      <c r="B81" s="55" t="s">
        <v>596</v>
      </c>
      <c r="C81" s="55" t="s">
        <v>19</v>
      </c>
      <c r="D81" s="22">
        <v>61</v>
      </c>
      <c r="E81" s="22">
        <v>26</v>
      </c>
      <c r="F81" s="22">
        <v>61</v>
      </c>
      <c r="G81" s="22">
        <v>26</v>
      </c>
      <c r="H81" s="55">
        <v>134.62</v>
      </c>
      <c r="I81" s="55">
        <v>134.62</v>
      </c>
      <c r="J81" s="55">
        <v>0.68</v>
      </c>
      <c r="K81" s="55">
        <v>0.68</v>
      </c>
      <c r="L81" s="55">
        <v>0.34</v>
      </c>
      <c r="M81" s="55">
        <v>0.34</v>
      </c>
      <c r="N81" s="55"/>
      <c r="O81" s="55"/>
    </row>
    <row r="82" spans="1:15">
      <c r="A82" s="55">
        <v>41</v>
      </c>
      <c r="B82" s="55" t="s">
        <v>589</v>
      </c>
      <c r="C82" s="55" t="s">
        <v>19</v>
      </c>
      <c r="D82" s="22">
        <v>60</v>
      </c>
      <c r="E82" s="22">
        <v>58</v>
      </c>
      <c r="F82" s="22">
        <v>60</v>
      </c>
      <c r="G82" s="22">
        <v>58</v>
      </c>
      <c r="H82" s="55">
        <v>3.45</v>
      </c>
      <c r="I82" s="55">
        <v>3.45</v>
      </c>
      <c r="J82" s="55">
        <v>0.67</v>
      </c>
      <c r="K82" s="55">
        <v>0.67</v>
      </c>
      <c r="L82" s="55">
        <v>0.76</v>
      </c>
      <c r="M82" s="55">
        <v>0.76</v>
      </c>
      <c r="N82" s="55"/>
      <c r="O82" s="55"/>
    </row>
    <row r="83" spans="1:15" hidden="1">
      <c r="A83" s="55">
        <v>42</v>
      </c>
      <c r="B83" s="55" t="s">
        <v>630</v>
      </c>
      <c r="C83" s="55" t="s">
        <v>20</v>
      </c>
      <c r="D83" s="22">
        <v>60</v>
      </c>
      <c r="E83" s="22">
        <v>9</v>
      </c>
      <c r="F83" s="22">
        <v>60</v>
      </c>
      <c r="G83" s="22">
        <v>9</v>
      </c>
      <c r="H83" s="55">
        <v>566.66999999999996</v>
      </c>
      <c r="I83" s="55">
        <v>566.66999999999996</v>
      </c>
      <c r="J83" s="55">
        <v>0.67</v>
      </c>
      <c r="K83" s="55">
        <v>0.67</v>
      </c>
      <c r="L83" s="55">
        <v>0.12</v>
      </c>
      <c r="M83" s="55">
        <v>0.12</v>
      </c>
      <c r="N83" s="55"/>
      <c r="O83" s="55"/>
    </row>
    <row r="84" spans="1:15" hidden="1">
      <c r="A84" s="55">
        <v>43</v>
      </c>
      <c r="B84" s="55" t="s">
        <v>1040</v>
      </c>
      <c r="C84" s="55" t="s">
        <v>20</v>
      </c>
      <c r="D84" s="22">
        <v>59</v>
      </c>
      <c r="E84" s="22">
        <v>0</v>
      </c>
      <c r="F84" s="22">
        <v>59</v>
      </c>
      <c r="G84" s="22">
        <v>0</v>
      </c>
      <c r="H84" s="55">
        <v>0</v>
      </c>
      <c r="I84" s="55">
        <v>0</v>
      </c>
      <c r="J84" s="55">
        <v>0.65</v>
      </c>
      <c r="K84" s="55">
        <v>0.65</v>
      </c>
      <c r="L84" s="55">
        <v>0</v>
      </c>
      <c r="M84" s="55">
        <v>0</v>
      </c>
      <c r="N84" s="55"/>
      <c r="O84" s="55"/>
    </row>
    <row r="85" spans="1:15" hidden="1">
      <c r="A85" s="55">
        <v>44</v>
      </c>
      <c r="B85" s="55" t="s">
        <v>551</v>
      </c>
      <c r="C85" s="55" t="s">
        <v>20</v>
      </c>
      <c r="D85" s="22">
        <v>55</v>
      </c>
      <c r="E85" s="22">
        <v>17</v>
      </c>
      <c r="F85" s="22">
        <v>55</v>
      </c>
      <c r="G85" s="22">
        <v>17</v>
      </c>
      <c r="H85" s="55">
        <v>223.53</v>
      </c>
      <c r="I85" s="55">
        <v>223.53</v>
      </c>
      <c r="J85" s="55">
        <v>0.61</v>
      </c>
      <c r="K85" s="55">
        <v>0.61</v>
      </c>
      <c r="L85" s="55">
        <v>0.22</v>
      </c>
      <c r="M85" s="55">
        <v>0.22</v>
      </c>
      <c r="N85" s="55"/>
      <c r="O85" s="55"/>
    </row>
    <row r="86" spans="1:15" hidden="1">
      <c r="A86" s="55">
        <v>45</v>
      </c>
      <c r="B86" s="55" t="s">
        <v>1011</v>
      </c>
      <c r="C86" s="55" t="s">
        <v>20</v>
      </c>
      <c r="D86" s="22">
        <v>55</v>
      </c>
      <c r="E86" s="22">
        <v>0</v>
      </c>
      <c r="F86" s="22">
        <v>55</v>
      </c>
      <c r="G86" s="22">
        <v>0</v>
      </c>
      <c r="H86" s="55">
        <v>0</v>
      </c>
      <c r="I86" s="55">
        <v>0</v>
      </c>
      <c r="J86" s="55">
        <v>0.61</v>
      </c>
      <c r="K86" s="55">
        <v>0.61</v>
      </c>
      <c r="L86" s="55">
        <v>0</v>
      </c>
      <c r="M86" s="55">
        <v>0</v>
      </c>
      <c r="N86" s="55"/>
      <c r="O86" s="55"/>
    </row>
    <row r="87" spans="1:15" hidden="1">
      <c r="A87" s="55">
        <v>46</v>
      </c>
      <c r="B87" s="55" t="s">
        <v>585</v>
      </c>
      <c r="C87" s="55" t="s">
        <v>20</v>
      </c>
      <c r="D87" s="22">
        <v>54</v>
      </c>
      <c r="E87" s="22">
        <v>21</v>
      </c>
      <c r="F87" s="22">
        <v>54</v>
      </c>
      <c r="G87" s="22">
        <v>21</v>
      </c>
      <c r="H87" s="55">
        <v>157.13999999999999</v>
      </c>
      <c r="I87" s="55">
        <v>157.13999999999999</v>
      </c>
      <c r="J87" s="55">
        <v>0.6</v>
      </c>
      <c r="K87" s="55">
        <v>0.6</v>
      </c>
      <c r="L87" s="55">
        <v>0.28000000000000003</v>
      </c>
      <c r="M87" s="55">
        <v>0.28000000000000003</v>
      </c>
      <c r="N87" s="55"/>
      <c r="O87" s="55"/>
    </row>
    <row r="88" spans="1:15">
      <c r="A88" s="55">
        <v>47</v>
      </c>
      <c r="B88" s="55" t="s">
        <v>366</v>
      </c>
      <c r="C88" s="55" t="s">
        <v>19</v>
      </c>
      <c r="D88" s="22">
        <v>51</v>
      </c>
      <c r="E88" s="22">
        <v>25</v>
      </c>
      <c r="F88" s="22">
        <v>51</v>
      </c>
      <c r="G88" s="22">
        <v>25</v>
      </c>
      <c r="H88" s="55">
        <v>104</v>
      </c>
      <c r="I88" s="55">
        <v>104</v>
      </c>
      <c r="J88" s="55">
        <v>0.56999999999999995</v>
      </c>
      <c r="K88" s="55">
        <v>0.56999999999999995</v>
      </c>
      <c r="L88" s="55">
        <v>0.33</v>
      </c>
      <c r="M88" s="55">
        <v>0.33</v>
      </c>
      <c r="N88" s="55"/>
      <c r="O88" s="55"/>
    </row>
    <row r="89" spans="1:15">
      <c r="A89" s="55">
        <v>48</v>
      </c>
      <c r="B89" s="55" t="s">
        <v>530</v>
      </c>
      <c r="C89" s="55" t="s">
        <v>19</v>
      </c>
      <c r="D89" s="22">
        <v>45</v>
      </c>
      <c r="E89" s="22">
        <v>126</v>
      </c>
      <c r="F89" s="22">
        <v>45</v>
      </c>
      <c r="G89" s="22">
        <v>126</v>
      </c>
      <c r="H89" s="55">
        <v>-64.290000000000006</v>
      </c>
      <c r="I89" s="55">
        <v>-64.290000000000006</v>
      </c>
      <c r="J89" s="55">
        <v>0.5</v>
      </c>
      <c r="K89" s="55">
        <v>0.5</v>
      </c>
      <c r="L89" s="55">
        <v>1.65</v>
      </c>
      <c r="M89" s="55">
        <v>1.65</v>
      </c>
      <c r="N89" s="55"/>
      <c r="O89" s="55"/>
    </row>
    <row r="90" spans="1:15">
      <c r="A90" s="55">
        <v>49</v>
      </c>
      <c r="B90" s="55" t="s">
        <v>214</v>
      </c>
      <c r="C90" s="55" t="s">
        <v>19</v>
      </c>
      <c r="D90" s="22">
        <v>43</v>
      </c>
      <c r="E90" s="22">
        <v>21</v>
      </c>
      <c r="F90" s="22">
        <v>43</v>
      </c>
      <c r="G90" s="22">
        <v>21</v>
      </c>
      <c r="H90" s="55">
        <v>104.76</v>
      </c>
      <c r="I90" s="55">
        <v>104.76</v>
      </c>
      <c r="J90" s="55">
        <v>0.48</v>
      </c>
      <c r="K90" s="55">
        <v>0.48</v>
      </c>
      <c r="L90" s="55">
        <v>0.28000000000000003</v>
      </c>
      <c r="M90" s="55">
        <v>0.28000000000000003</v>
      </c>
      <c r="N90" s="55"/>
      <c r="O90" s="55"/>
    </row>
    <row r="91" spans="1:15">
      <c r="A91" s="55">
        <v>50</v>
      </c>
      <c r="B91" s="55" t="s">
        <v>221</v>
      </c>
      <c r="C91" s="55" t="s">
        <v>19</v>
      </c>
      <c r="D91" s="22">
        <v>39</v>
      </c>
      <c r="E91" s="22">
        <v>2</v>
      </c>
      <c r="F91" s="22">
        <v>39</v>
      </c>
      <c r="G91" s="22">
        <v>2</v>
      </c>
      <c r="H91" s="55">
        <v>1850</v>
      </c>
      <c r="I91" s="55">
        <v>1850</v>
      </c>
      <c r="J91" s="55">
        <v>0.43</v>
      </c>
      <c r="K91" s="55">
        <v>0.43</v>
      </c>
      <c r="L91" s="55">
        <v>0.03</v>
      </c>
      <c r="M91" s="55">
        <v>0.03</v>
      </c>
      <c r="N91" s="55"/>
      <c r="O91" s="55"/>
    </row>
    <row r="92" spans="1:15">
      <c r="A92" s="55">
        <v>51</v>
      </c>
      <c r="B92" s="55" t="s">
        <v>115</v>
      </c>
      <c r="C92" s="55" t="s">
        <v>19</v>
      </c>
      <c r="D92" s="22">
        <v>38</v>
      </c>
      <c r="E92" s="22">
        <v>57</v>
      </c>
      <c r="F92" s="22">
        <v>38</v>
      </c>
      <c r="G92" s="22">
        <v>57</v>
      </c>
      <c r="H92" s="55">
        <v>-33.33</v>
      </c>
      <c r="I92" s="55">
        <v>-33.33</v>
      </c>
      <c r="J92" s="55">
        <v>0.42</v>
      </c>
      <c r="K92" s="55">
        <v>0.42</v>
      </c>
      <c r="L92" s="55">
        <v>0.75</v>
      </c>
      <c r="M92" s="55">
        <v>0.75</v>
      </c>
      <c r="N92" s="55"/>
      <c r="O92" s="55"/>
    </row>
    <row r="93" spans="1:15" hidden="1">
      <c r="A93" s="55">
        <v>52</v>
      </c>
      <c r="B93" s="55" t="s">
        <v>942</v>
      </c>
      <c r="C93" s="55" t="s">
        <v>20</v>
      </c>
      <c r="D93" s="22">
        <v>38</v>
      </c>
      <c r="E93" s="22">
        <v>9</v>
      </c>
      <c r="F93" s="22">
        <v>38</v>
      </c>
      <c r="G93" s="22">
        <v>9</v>
      </c>
      <c r="H93" s="62">
        <v>322.22000000000003</v>
      </c>
      <c r="I93" s="62">
        <v>322.22000000000003</v>
      </c>
      <c r="J93" s="55">
        <v>0.42</v>
      </c>
      <c r="K93" s="55">
        <v>0.42</v>
      </c>
      <c r="L93" s="55">
        <v>0.12</v>
      </c>
      <c r="M93" s="55">
        <v>0.12</v>
      </c>
      <c r="N93" s="55"/>
      <c r="O93" s="55"/>
    </row>
    <row r="94" spans="1:15" hidden="1">
      <c r="A94" s="55">
        <v>53</v>
      </c>
      <c r="B94" s="55" t="s">
        <v>925</v>
      </c>
      <c r="C94" s="55" t="s">
        <v>20</v>
      </c>
      <c r="D94" s="22">
        <v>36</v>
      </c>
      <c r="E94" s="22">
        <v>26</v>
      </c>
      <c r="F94" s="22">
        <v>36</v>
      </c>
      <c r="G94" s="22">
        <v>26</v>
      </c>
      <c r="H94" s="78">
        <v>38.46</v>
      </c>
      <c r="I94" s="78">
        <v>38.46</v>
      </c>
      <c r="J94" s="55">
        <v>0.4</v>
      </c>
      <c r="K94" s="55">
        <v>0.4</v>
      </c>
      <c r="L94" s="55">
        <v>0.34</v>
      </c>
      <c r="M94" s="55">
        <v>0.34</v>
      </c>
      <c r="N94" s="55"/>
      <c r="O94" s="55"/>
    </row>
    <row r="95" spans="1:15" hidden="1">
      <c r="A95" s="55">
        <v>54</v>
      </c>
      <c r="B95" s="55" t="s">
        <v>1079</v>
      </c>
      <c r="C95" s="55" t="s">
        <v>20</v>
      </c>
      <c r="D95" s="22">
        <v>36</v>
      </c>
      <c r="E95" s="22">
        <v>0</v>
      </c>
      <c r="F95" s="22">
        <v>36</v>
      </c>
      <c r="G95" s="22">
        <v>0</v>
      </c>
      <c r="H95" s="55">
        <v>0</v>
      </c>
      <c r="I95" s="55">
        <v>0</v>
      </c>
      <c r="J95" s="55">
        <v>0.4</v>
      </c>
      <c r="K95" s="55">
        <v>0.4</v>
      </c>
      <c r="L95" s="55">
        <v>0</v>
      </c>
      <c r="M95" s="55">
        <v>0</v>
      </c>
      <c r="N95" s="55"/>
      <c r="O95" s="55"/>
    </row>
    <row r="96" spans="1:15" hidden="1">
      <c r="A96" s="55">
        <v>55</v>
      </c>
      <c r="B96" s="55" t="s">
        <v>926</v>
      </c>
      <c r="C96" s="55" t="s">
        <v>20</v>
      </c>
      <c r="D96" s="22">
        <v>34</v>
      </c>
      <c r="E96" s="22">
        <v>33</v>
      </c>
      <c r="F96" s="22">
        <v>34</v>
      </c>
      <c r="G96" s="22">
        <v>33</v>
      </c>
      <c r="H96" s="55">
        <v>3.03</v>
      </c>
      <c r="I96" s="55">
        <v>3.03</v>
      </c>
      <c r="J96" s="55">
        <v>0.38</v>
      </c>
      <c r="K96" s="55">
        <v>0.38</v>
      </c>
      <c r="L96" s="55">
        <v>0.43</v>
      </c>
      <c r="M96" s="55">
        <v>0.43</v>
      </c>
      <c r="N96" s="55"/>
      <c r="O96" s="55"/>
    </row>
    <row r="97" spans="1:15">
      <c r="A97" s="55">
        <v>56</v>
      </c>
      <c r="B97" s="55" t="s">
        <v>378</v>
      </c>
      <c r="C97" s="55" t="s">
        <v>19</v>
      </c>
      <c r="D97" s="22">
        <v>32</v>
      </c>
      <c r="E97" s="22">
        <v>11</v>
      </c>
      <c r="F97" s="22">
        <v>32</v>
      </c>
      <c r="G97" s="22">
        <v>11</v>
      </c>
      <c r="H97" s="55">
        <v>190.91</v>
      </c>
      <c r="I97" s="55">
        <v>190.91</v>
      </c>
      <c r="J97" s="55">
        <v>0.36</v>
      </c>
      <c r="K97" s="55">
        <v>0.36</v>
      </c>
      <c r="L97" s="55">
        <v>0.14000000000000001</v>
      </c>
      <c r="M97" s="55">
        <v>0.14000000000000001</v>
      </c>
      <c r="N97" s="55"/>
      <c r="O97" s="55"/>
    </row>
    <row r="98" spans="1:15" hidden="1">
      <c r="A98" s="55">
        <v>57</v>
      </c>
      <c r="B98" s="55" t="s">
        <v>461</v>
      </c>
      <c r="C98" s="55" t="s">
        <v>20</v>
      </c>
      <c r="D98" s="22">
        <v>31</v>
      </c>
      <c r="E98" s="22">
        <v>42</v>
      </c>
      <c r="F98" s="22">
        <v>31</v>
      </c>
      <c r="G98" s="22">
        <v>42</v>
      </c>
      <c r="H98" s="55">
        <v>-26.19</v>
      </c>
      <c r="I98" s="55">
        <v>-26.19</v>
      </c>
      <c r="J98" s="55">
        <v>0.34</v>
      </c>
      <c r="K98" s="55">
        <v>0.34</v>
      </c>
      <c r="L98" s="55">
        <v>0.55000000000000004</v>
      </c>
      <c r="M98" s="55">
        <v>0.55000000000000004</v>
      </c>
      <c r="N98" s="55"/>
      <c r="O98" s="55"/>
    </row>
    <row r="99" spans="1:15">
      <c r="A99" s="55">
        <v>58</v>
      </c>
      <c r="B99" s="55" t="s">
        <v>218</v>
      </c>
      <c r="C99" s="55" t="s">
        <v>19</v>
      </c>
      <c r="D99" s="22">
        <v>30</v>
      </c>
      <c r="E99" s="22">
        <v>62</v>
      </c>
      <c r="F99" s="22">
        <v>30</v>
      </c>
      <c r="G99" s="22">
        <v>62</v>
      </c>
      <c r="H99" s="55">
        <v>-51.61</v>
      </c>
      <c r="I99" s="55">
        <v>-51.61</v>
      </c>
      <c r="J99" s="55">
        <v>0.33</v>
      </c>
      <c r="K99" s="55">
        <v>0.33</v>
      </c>
      <c r="L99" s="55">
        <v>0.81</v>
      </c>
      <c r="M99" s="55">
        <v>0.81</v>
      </c>
      <c r="N99" s="55"/>
      <c r="O99" s="55"/>
    </row>
    <row r="100" spans="1:15" hidden="1">
      <c r="A100" s="55">
        <v>59</v>
      </c>
      <c r="B100" s="55" t="s">
        <v>932</v>
      </c>
      <c r="C100" s="55" t="s">
        <v>20</v>
      </c>
      <c r="D100" s="22">
        <v>30</v>
      </c>
      <c r="E100" s="22">
        <v>18</v>
      </c>
      <c r="F100" s="22">
        <v>30</v>
      </c>
      <c r="G100" s="22">
        <v>18</v>
      </c>
      <c r="H100" s="55">
        <v>66.67</v>
      </c>
      <c r="I100" s="55">
        <v>66.67</v>
      </c>
      <c r="J100" s="55">
        <v>0.33</v>
      </c>
      <c r="K100" s="55">
        <v>0.33</v>
      </c>
      <c r="L100" s="55">
        <v>0.24</v>
      </c>
      <c r="M100" s="55">
        <v>0.24</v>
      </c>
      <c r="N100" s="55"/>
      <c r="O100" s="55"/>
    </row>
    <row r="101" spans="1:15">
      <c r="A101" s="55">
        <v>60</v>
      </c>
      <c r="B101" s="55" t="s">
        <v>123</v>
      </c>
      <c r="C101" s="55" t="s">
        <v>19</v>
      </c>
      <c r="D101" s="22">
        <v>30</v>
      </c>
      <c r="E101" s="22">
        <v>5</v>
      </c>
      <c r="F101" s="22">
        <v>30</v>
      </c>
      <c r="G101" s="22">
        <v>5</v>
      </c>
      <c r="H101" s="55">
        <v>500</v>
      </c>
      <c r="I101" s="55">
        <v>500</v>
      </c>
      <c r="J101" s="55">
        <v>0.33</v>
      </c>
      <c r="K101" s="55">
        <v>0.33</v>
      </c>
      <c r="L101" s="55">
        <v>7.0000000000000007E-2</v>
      </c>
      <c r="M101" s="55">
        <v>7.0000000000000007E-2</v>
      </c>
      <c r="N101" s="55"/>
      <c r="O101" s="55"/>
    </row>
    <row r="102" spans="1:15">
      <c r="A102" s="55">
        <v>61</v>
      </c>
      <c r="B102" s="55" t="s">
        <v>359</v>
      </c>
      <c r="C102" s="55" t="s">
        <v>19</v>
      </c>
      <c r="D102" s="22">
        <v>29</v>
      </c>
      <c r="E102" s="22">
        <v>105</v>
      </c>
      <c r="F102" s="22">
        <v>29</v>
      </c>
      <c r="G102" s="22">
        <v>105</v>
      </c>
      <c r="H102" s="55">
        <v>-72.38</v>
      </c>
      <c r="I102" s="55">
        <v>-72.38</v>
      </c>
      <c r="J102" s="55">
        <v>0.32</v>
      </c>
      <c r="K102" s="55">
        <v>0.32</v>
      </c>
      <c r="L102" s="55">
        <v>1.38</v>
      </c>
      <c r="M102" s="55">
        <v>1.38</v>
      </c>
      <c r="N102" s="55"/>
      <c r="O102" s="55"/>
    </row>
    <row r="103" spans="1:15" hidden="1">
      <c r="A103" s="55">
        <v>62</v>
      </c>
      <c r="B103" s="55" t="s">
        <v>957</v>
      </c>
      <c r="C103" s="55" t="s">
        <v>20</v>
      </c>
      <c r="D103" s="22">
        <v>29</v>
      </c>
      <c r="E103" s="22">
        <v>7</v>
      </c>
      <c r="F103" s="22">
        <v>29</v>
      </c>
      <c r="G103" s="22">
        <v>7</v>
      </c>
      <c r="H103" s="55">
        <v>314.29000000000002</v>
      </c>
      <c r="I103" s="55">
        <v>314.29000000000002</v>
      </c>
      <c r="J103" s="55">
        <v>0.32</v>
      </c>
      <c r="K103" s="55">
        <v>0.32</v>
      </c>
      <c r="L103" s="55">
        <v>0.09</v>
      </c>
      <c r="M103" s="55">
        <v>0.09</v>
      </c>
      <c r="N103" s="55"/>
      <c r="O103" s="55"/>
    </row>
    <row r="104" spans="1:15">
      <c r="A104" s="55">
        <v>63</v>
      </c>
      <c r="B104" s="55" t="s">
        <v>353</v>
      </c>
      <c r="C104" s="55" t="s">
        <v>19</v>
      </c>
      <c r="D104" s="22">
        <v>28</v>
      </c>
      <c r="E104" s="22">
        <v>30</v>
      </c>
      <c r="F104" s="22">
        <v>28</v>
      </c>
      <c r="G104" s="22">
        <v>30</v>
      </c>
      <c r="H104" s="55">
        <v>-6.67</v>
      </c>
      <c r="I104" s="55">
        <v>-6.67</v>
      </c>
      <c r="J104" s="55">
        <v>0.31</v>
      </c>
      <c r="K104" s="55">
        <v>0.31</v>
      </c>
      <c r="L104" s="55">
        <v>0.39</v>
      </c>
      <c r="M104" s="55">
        <v>0.39</v>
      </c>
      <c r="N104" s="55"/>
      <c r="O104" s="55"/>
    </row>
    <row r="105" spans="1:15" hidden="1">
      <c r="A105" s="55">
        <v>64</v>
      </c>
      <c r="B105" s="55" t="s">
        <v>412</v>
      </c>
      <c r="C105" s="55" t="s">
        <v>20</v>
      </c>
      <c r="D105" s="22">
        <v>28</v>
      </c>
      <c r="E105" s="22">
        <v>13</v>
      </c>
      <c r="F105" s="22">
        <v>28</v>
      </c>
      <c r="G105" s="22">
        <v>13</v>
      </c>
      <c r="H105" s="55">
        <v>115.38</v>
      </c>
      <c r="I105" s="55">
        <v>115.38</v>
      </c>
      <c r="J105" s="55">
        <v>0.31</v>
      </c>
      <c r="K105" s="55">
        <v>0.31</v>
      </c>
      <c r="L105" s="55">
        <v>0.17</v>
      </c>
      <c r="M105" s="55">
        <v>0.17</v>
      </c>
      <c r="N105" s="55"/>
      <c r="O105" s="55"/>
    </row>
    <row r="106" spans="1:15">
      <c r="A106" s="55">
        <v>65</v>
      </c>
      <c r="B106" s="55" t="s">
        <v>405</v>
      </c>
      <c r="C106" s="55" t="s">
        <v>19</v>
      </c>
      <c r="D106" s="22">
        <v>26</v>
      </c>
      <c r="E106" s="22">
        <v>1</v>
      </c>
      <c r="F106" s="22">
        <v>26</v>
      </c>
      <c r="G106" s="22">
        <v>1</v>
      </c>
      <c r="H106" s="55">
        <v>2500</v>
      </c>
      <c r="I106" s="55">
        <v>2500</v>
      </c>
      <c r="J106" s="55">
        <v>0.28999999999999998</v>
      </c>
      <c r="K106" s="55">
        <v>0.28999999999999998</v>
      </c>
      <c r="L106" s="55">
        <v>0.01</v>
      </c>
      <c r="M106" s="55">
        <v>0.01</v>
      </c>
      <c r="N106" s="55"/>
      <c r="O106" s="55"/>
    </row>
    <row r="107" spans="1:15" hidden="1">
      <c r="A107" s="55">
        <v>66</v>
      </c>
      <c r="B107" s="55" t="s">
        <v>377</v>
      </c>
      <c r="C107" s="55" t="s">
        <v>20</v>
      </c>
      <c r="D107" s="22">
        <v>25</v>
      </c>
      <c r="E107" s="22">
        <v>27</v>
      </c>
      <c r="F107" s="22">
        <v>25</v>
      </c>
      <c r="G107" s="22">
        <v>27</v>
      </c>
      <c r="H107" s="55">
        <v>-7.41</v>
      </c>
      <c r="I107" s="55">
        <v>-7.41</v>
      </c>
      <c r="J107" s="55">
        <v>0.28000000000000003</v>
      </c>
      <c r="K107" s="55">
        <v>0.28000000000000003</v>
      </c>
      <c r="L107" s="55">
        <v>0.35</v>
      </c>
      <c r="M107" s="55">
        <v>0.35</v>
      </c>
      <c r="N107" s="55"/>
      <c r="O107" s="55"/>
    </row>
    <row r="108" spans="1:15">
      <c r="A108" s="55">
        <v>67</v>
      </c>
      <c r="B108" s="55" t="s">
        <v>75</v>
      </c>
      <c r="C108" s="55" t="s">
        <v>19</v>
      </c>
      <c r="D108" s="22">
        <v>25</v>
      </c>
      <c r="E108" s="22">
        <v>15</v>
      </c>
      <c r="F108" s="22">
        <v>25</v>
      </c>
      <c r="G108" s="22">
        <v>15</v>
      </c>
      <c r="H108" s="55">
        <v>66.67</v>
      </c>
      <c r="I108" s="55">
        <v>66.67</v>
      </c>
      <c r="J108" s="55">
        <v>0.28000000000000003</v>
      </c>
      <c r="K108" s="55">
        <v>0.28000000000000003</v>
      </c>
      <c r="L108" s="55">
        <v>0.2</v>
      </c>
      <c r="M108" s="55">
        <v>0.2</v>
      </c>
      <c r="N108" s="55"/>
      <c r="O108" s="55"/>
    </row>
    <row r="109" spans="1:15" hidden="1">
      <c r="A109" s="55">
        <v>68</v>
      </c>
      <c r="B109" s="55" t="s">
        <v>1115</v>
      </c>
      <c r="C109" s="55" t="s">
        <v>20</v>
      </c>
      <c r="D109" s="22">
        <v>25</v>
      </c>
      <c r="E109" s="22">
        <v>0</v>
      </c>
      <c r="F109" s="22">
        <v>25</v>
      </c>
      <c r="G109" s="22">
        <v>0</v>
      </c>
      <c r="H109" s="55">
        <v>0</v>
      </c>
      <c r="I109" s="55">
        <v>0</v>
      </c>
      <c r="J109" s="55">
        <v>0.28000000000000003</v>
      </c>
      <c r="K109" s="55">
        <v>0.28000000000000003</v>
      </c>
      <c r="L109" s="55">
        <v>0</v>
      </c>
      <c r="M109" s="55">
        <v>0</v>
      </c>
      <c r="N109" s="55"/>
      <c r="O109" s="55"/>
    </row>
    <row r="110" spans="1:15">
      <c r="A110" s="55">
        <v>69</v>
      </c>
      <c r="B110" s="55" t="s">
        <v>389</v>
      </c>
      <c r="C110" s="55" t="s">
        <v>19</v>
      </c>
      <c r="D110" s="22">
        <v>24</v>
      </c>
      <c r="E110" s="22">
        <v>30</v>
      </c>
      <c r="F110" s="22">
        <v>24</v>
      </c>
      <c r="G110" s="22">
        <v>30</v>
      </c>
      <c r="H110" s="55">
        <v>-20</v>
      </c>
      <c r="I110" s="55">
        <v>-20</v>
      </c>
      <c r="J110" s="55">
        <v>0.27</v>
      </c>
      <c r="K110" s="55">
        <v>0.27</v>
      </c>
      <c r="L110" s="55">
        <v>0.39</v>
      </c>
      <c r="M110" s="55">
        <v>0.39</v>
      </c>
      <c r="N110" s="55"/>
      <c r="O110" s="55"/>
    </row>
    <row r="111" spans="1:15">
      <c r="A111" s="55">
        <v>70</v>
      </c>
      <c r="B111" s="55" t="s">
        <v>360</v>
      </c>
      <c r="C111" s="55" t="s">
        <v>19</v>
      </c>
      <c r="D111" s="22">
        <v>23</v>
      </c>
      <c r="E111" s="22">
        <v>9</v>
      </c>
      <c r="F111" s="22">
        <v>23</v>
      </c>
      <c r="G111" s="22">
        <v>9</v>
      </c>
      <c r="H111" s="55">
        <v>155.56</v>
      </c>
      <c r="I111" s="55">
        <v>155.56</v>
      </c>
      <c r="J111" s="55">
        <v>0.26</v>
      </c>
      <c r="K111" s="55">
        <v>0.26</v>
      </c>
      <c r="L111" s="55">
        <v>0.12</v>
      </c>
      <c r="M111" s="55">
        <v>0.12</v>
      </c>
      <c r="N111" s="55"/>
      <c r="O111" s="55"/>
    </row>
    <row r="112" spans="1:15">
      <c r="A112" s="55">
        <v>71</v>
      </c>
      <c r="B112" s="55" t="s">
        <v>459</v>
      </c>
      <c r="C112" s="55" t="s">
        <v>19</v>
      </c>
      <c r="D112" s="22">
        <v>23</v>
      </c>
      <c r="E112" s="22">
        <v>2</v>
      </c>
      <c r="F112" s="22">
        <v>23</v>
      </c>
      <c r="G112" s="22">
        <v>2</v>
      </c>
      <c r="H112" s="55">
        <v>1050</v>
      </c>
      <c r="I112" s="55">
        <v>1050</v>
      </c>
      <c r="J112" s="55">
        <v>0.26</v>
      </c>
      <c r="K112" s="55">
        <v>0.26</v>
      </c>
      <c r="L112" s="55">
        <v>0.03</v>
      </c>
      <c r="M112" s="55">
        <v>0.03</v>
      </c>
      <c r="N112" s="55"/>
      <c r="O112" s="55"/>
    </row>
    <row r="113" spans="1:15" hidden="1">
      <c r="A113" s="55">
        <v>72</v>
      </c>
      <c r="B113" s="55" t="s">
        <v>1097</v>
      </c>
      <c r="C113" s="55" t="s">
        <v>20</v>
      </c>
      <c r="D113" s="22">
        <v>23</v>
      </c>
      <c r="E113" s="22">
        <v>0</v>
      </c>
      <c r="F113" s="22">
        <v>23</v>
      </c>
      <c r="G113" s="22">
        <v>0</v>
      </c>
      <c r="H113" s="55">
        <v>0</v>
      </c>
      <c r="I113" s="55">
        <v>0</v>
      </c>
      <c r="J113" s="55">
        <v>0.26</v>
      </c>
      <c r="K113" s="55">
        <v>0.26</v>
      </c>
      <c r="L113" s="55">
        <v>0</v>
      </c>
      <c r="M113" s="55">
        <v>0</v>
      </c>
      <c r="N113" s="55"/>
      <c r="O113" s="55"/>
    </row>
    <row r="114" spans="1:15">
      <c r="A114" s="55">
        <v>73</v>
      </c>
      <c r="B114" s="55" t="s">
        <v>380</v>
      </c>
      <c r="C114" s="55" t="s">
        <v>19</v>
      </c>
      <c r="D114" s="22">
        <v>22</v>
      </c>
      <c r="E114" s="22">
        <v>23</v>
      </c>
      <c r="F114" s="22">
        <v>22</v>
      </c>
      <c r="G114" s="22">
        <v>23</v>
      </c>
      <c r="H114" s="55">
        <v>-4.3499999999999996</v>
      </c>
      <c r="I114" s="55">
        <v>-4.3499999999999996</v>
      </c>
      <c r="J114" s="55">
        <v>0.24</v>
      </c>
      <c r="K114" s="55">
        <v>0.24</v>
      </c>
      <c r="L114" s="55">
        <v>0.3</v>
      </c>
      <c r="M114" s="55">
        <v>0.3</v>
      </c>
      <c r="N114" s="55"/>
      <c r="O114" s="55"/>
    </row>
    <row r="115" spans="1:15" hidden="1">
      <c r="A115" s="55">
        <v>74</v>
      </c>
      <c r="B115" s="55" t="s">
        <v>372</v>
      </c>
      <c r="C115" s="55" t="s">
        <v>20</v>
      </c>
      <c r="D115" s="22">
        <v>22</v>
      </c>
      <c r="E115" s="22">
        <v>11</v>
      </c>
      <c r="F115" s="22">
        <v>22</v>
      </c>
      <c r="G115" s="22">
        <v>11</v>
      </c>
      <c r="H115" s="55">
        <v>100</v>
      </c>
      <c r="I115" s="55">
        <v>100</v>
      </c>
      <c r="J115" s="55">
        <v>0.24</v>
      </c>
      <c r="K115" s="55">
        <v>0.24</v>
      </c>
      <c r="L115" s="55">
        <v>0.14000000000000001</v>
      </c>
      <c r="M115" s="55">
        <v>0.14000000000000001</v>
      </c>
      <c r="N115" s="55"/>
      <c r="O115" s="55"/>
    </row>
    <row r="116" spans="1:15">
      <c r="A116" s="55">
        <v>75</v>
      </c>
      <c r="B116" s="55" t="s">
        <v>980</v>
      </c>
      <c r="C116" s="55" t="s">
        <v>19</v>
      </c>
      <c r="D116" s="22">
        <v>22</v>
      </c>
      <c r="E116" s="22">
        <v>1</v>
      </c>
      <c r="F116" s="22">
        <v>22</v>
      </c>
      <c r="G116" s="22">
        <v>1</v>
      </c>
      <c r="H116" s="55">
        <v>2100</v>
      </c>
      <c r="I116" s="55">
        <v>2100</v>
      </c>
      <c r="J116" s="55">
        <v>0.24</v>
      </c>
      <c r="K116" s="55">
        <v>0.24</v>
      </c>
      <c r="L116" s="55">
        <v>0.01</v>
      </c>
      <c r="M116" s="55">
        <v>0.01</v>
      </c>
      <c r="N116" s="55"/>
      <c r="O116" s="55"/>
    </row>
    <row r="117" spans="1:15" hidden="1">
      <c r="A117" s="55">
        <v>76</v>
      </c>
      <c r="B117" s="55" t="s">
        <v>634</v>
      </c>
      <c r="C117" s="55" t="s">
        <v>20</v>
      </c>
      <c r="D117" s="22">
        <v>20</v>
      </c>
      <c r="E117" s="22">
        <v>81</v>
      </c>
      <c r="F117" s="22">
        <v>20</v>
      </c>
      <c r="G117" s="22">
        <v>81</v>
      </c>
      <c r="H117" s="55">
        <v>-75.31</v>
      </c>
      <c r="I117" s="55">
        <v>-75.31</v>
      </c>
      <c r="J117" s="55">
        <v>0.22</v>
      </c>
      <c r="K117" s="55">
        <v>0.22</v>
      </c>
      <c r="L117" s="55">
        <v>1.06</v>
      </c>
      <c r="M117" s="55">
        <v>1.06</v>
      </c>
      <c r="N117" s="55"/>
      <c r="O117" s="55"/>
    </row>
    <row r="118" spans="1:15" hidden="1">
      <c r="A118" s="55">
        <v>77</v>
      </c>
      <c r="B118" s="55" t="s">
        <v>562</v>
      </c>
      <c r="C118" s="55" t="s">
        <v>20</v>
      </c>
      <c r="D118" s="22">
        <v>20</v>
      </c>
      <c r="E118" s="22">
        <v>17</v>
      </c>
      <c r="F118" s="22">
        <v>20</v>
      </c>
      <c r="G118" s="22">
        <v>17</v>
      </c>
      <c r="H118" s="55">
        <v>17.649999999999999</v>
      </c>
      <c r="I118" s="55">
        <v>17.649999999999999</v>
      </c>
      <c r="J118" s="55">
        <v>0.22</v>
      </c>
      <c r="K118" s="55">
        <v>0.22</v>
      </c>
      <c r="L118" s="55">
        <v>0.22</v>
      </c>
      <c r="M118" s="55">
        <v>0.22</v>
      </c>
      <c r="N118" s="55"/>
      <c r="O118" s="55"/>
    </row>
    <row r="119" spans="1:15">
      <c r="A119" s="55">
        <v>78</v>
      </c>
      <c r="B119" s="55" t="s">
        <v>451</v>
      </c>
      <c r="C119" s="55" t="s">
        <v>19</v>
      </c>
      <c r="D119" s="22">
        <v>19</v>
      </c>
      <c r="E119" s="22">
        <v>178</v>
      </c>
      <c r="F119" s="22">
        <v>19</v>
      </c>
      <c r="G119" s="22">
        <v>178</v>
      </c>
      <c r="H119" s="55">
        <v>-89.33</v>
      </c>
      <c r="I119" s="55">
        <v>-89.33</v>
      </c>
      <c r="J119" s="55">
        <v>0.21</v>
      </c>
      <c r="K119" s="55">
        <v>0.21</v>
      </c>
      <c r="L119" s="55">
        <v>2.33</v>
      </c>
      <c r="M119" s="55">
        <v>2.33</v>
      </c>
      <c r="N119" s="55"/>
      <c r="O119" s="55"/>
    </row>
    <row r="120" spans="1:15" hidden="1">
      <c r="A120" s="55">
        <v>79</v>
      </c>
      <c r="B120" s="55" t="s">
        <v>343</v>
      </c>
      <c r="C120" s="55" t="s">
        <v>20</v>
      </c>
      <c r="D120" s="22">
        <v>18</v>
      </c>
      <c r="E120" s="22">
        <v>102</v>
      </c>
      <c r="F120" s="22">
        <v>18</v>
      </c>
      <c r="G120" s="22">
        <v>102</v>
      </c>
      <c r="H120" s="55">
        <v>-82.35</v>
      </c>
      <c r="I120" s="55">
        <v>-82.35</v>
      </c>
      <c r="J120" s="55">
        <v>0.2</v>
      </c>
      <c r="K120" s="55">
        <v>0.2</v>
      </c>
      <c r="L120" s="55">
        <v>1.34</v>
      </c>
      <c r="M120" s="55">
        <v>1.34</v>
      </c>
      <c r="N120" s="55"/>
      <c r="O120" s="55"/>
    </row>
    <row r="121" spans="1:15">
      <c r="A121" s="55">
        <v>80</v>
      </c>
      <c r="B121" s="55" t="s">
        <v>458</v>
      </c>
      <c r="C121" s="55" t="s">
        <v>19</v>
      </c>
      <c r="D121" s="22">
        <v>18</v>
      </c>
      <c r="E121" s="22">
        <v>2</v>
      </c>
      <c r="F121" s="22">
        <v>18</v>
      </c>
      <c r="G121" s="22">
        <v>2</v>
      </c>
      <c r="H121" s="55">
        <v>800</v>
      </c>
      <c r="I121" s="55">
        <v>800</v>
      </c>
      <c r="J121" s="55">
        <v>0.2</v>
      </c>
      <c r="K121" s="55">
        <v>0.2</v>
      </c>
      <c r="L121" s="55">
        <v>0.03</v>
      </c>
      <c r="M121" s="55">
        <v>0.03</v>
      </c>
      <c r="N121" s="55"/>
      <c r="O121" s="55"/>
    </row>
    <row r="122" spans="1:15" hidden="1">
      <c r="A122" s="55">
        <v>81</v>
      </c>
      <c r="B122" s="55" t="s">
        <v>945</v>
      </c>
      <c r="C122" s="55" t="s">
        <v>20</v>
      </c>
      <c r="D122" s="22">
        <v>17</v>
      </c>
      <c r="E122" s="22">
        <v>110</v>
      </c>
      <c r="F122" s="22">
        <v>17</v>
      </c>
      <c r="G122" s="22">
        <v>110</v>
      </c>
      <c r="H122" s="55">
        <v>-84.55</v>
      </c>
      <c r="I122" s="55">
        <v>-84.55</v>
      </c>
      <c r="J122" s="55">
        <v>0.19</v>
      </c>
      <c r="K122" s="55">
        <v>0.19</v>
      </c>
      <c r="L122" s="55">
        <v>1.44</v>
      </c>
      <c r="M122" s="55">
        <v>1.44</v>
      </c>
      <c r="N122" s="55"/>
      <c r="O122" s="55"/>
    </row>
    <row r="123" spans="1:15">
      <c r="A123" s="55">
        <v>82</v>
      </c>
      <c r="B123" s="55" t="s">
        <v>463</v>
      </c>
      <c r="C123" s="55" t="s">
        <v>19</v>
      </c>
      <c r="D123" s="22">
        <v>17</v>
      </c>
      <c r="E123" s="22">
        <v>8</v>
      </c>
      <c r="F123" s="22">
        <v>17</v>
      </c>
      <c r="G123" s="22">
        <v>8</v>
      </c>
      <c r="H123" s="55">
        <v>112.5</v>
      </c>
      <c r="I123" s="55">
        <v>112.5</v>
      </c>
      <c r="J123" s="55">
        <v>0.19</v>
      </c>
      <c r="K123" s="55">
        <v>0.19</v>
      </c>
      <c r="L123" s="55">
        <v>0.1</v>
      </c>
      <c r="M123" s="55">
        <v>0.1</v>
      </c>
      <c r="N123" s="55"/>
      <c r="O123" s="55"/>
    </row>
    <row r="124" spans="1:15" hidden="1">
      <c r="A124" s="55">
        <v>83</v>
      </c>
      <c r="B124" s="55" t="s">
        <v>586</v>
      </c>
      <c r="C124" s="55" t="s">
        <v>20</v>
      </c>
      <c r="D124" s="22">
        <v>13</v>
      </c>
      <c r="E124" s="22">
        <v>39</v>
      </c>
      <c r="F124" s="22">
        <v>13</v>
      </c>
      <c r="G124" s="22">
        <v>39</v>
      </c>
      <c r="H124" s="55">
        <v>-66.67</v>
      </c>
      <c r="I124" s="55">
        <v>-66.67</v>
      </c>
      <c r="J124" s="55">
        <v>0.14000000000000001</v>
      </c>
      <c r="K124" s="55">
        <v>0.14000000000000001</v>
      </c>
      <c r="L124" s="55">
        <v>0.51</v>
      </c>
      <c r="M124" s="55">
        <v>0.51</v>
      </c>
      <c r="N124" s="55"/>
      <c r="O124" s="55"/>
    </row>
    <row r="125" spans="1:15" hidden="1">
      <c r="A125" s="55">
        <v>84</v>
      </c>
      <c r="B125" s="55" t="s">
        <v>409</v>
      </c>
      <c r="C125" s="55" t="s">
        <v>20</v>
      </c>
      <c r="D125" s="22">
        <v>13</v>
      </c>
      <c r="E125" s="22">
        <v>0</v>
      </c>
      <c r="F125" s="22">
        <v>13</v>
      </c>
      <c r="G125" s="22">
        <v>0</v>
      </c>
      <c r="H125" s="55">
        <v>0</v>
      </c>
      <c r="I125" s="55">
        <v>0</v>
      </c>
      <c r="J125" s="55">
        <v>0.14000000000000001</v>
      </c>
      <c r="K125" s="55">
        <v>0.14000000000000001</v>
      </c>
      <c r="L125" s="55">
        <v>0</v>
      </c>
      <c r="M125" s="55">
        <v>0</v>
      </c>
      <c r="N125" s="55"/>
      <c r="O125" s="55"/>
    </row>
    <row r="126" spans="1:15">
      <c r="A126" s="55">
        <v>85</v>
      </c>
      <c r="B126" s="55" t="s">
        <v>959</v>
      </c>
      <c r="C126" s="55" t="s">
        <v>19</v>
      </c>
      <c r="D126" s="22">
        <v>12</v>
      </c>
      <c r="E126" s="22">
        <v>19</v>
      </c>
      <c r="F126" s="22">
        <v>12</v>
      </c>
      <c r="G126" s="22">
        <v>19</v>
      </c>
      <c r="H126" s="55">
        <v>-36.840000000000003</v>
      </c>
      <c r="I126" s="55">
        <v>-36.840000000000003</v>
      </c>
      <c r="J126" s="55">
        <v>0.13</v>
      </c>
      <c r="K126" s="55">
        <v>0.13</v>
      </c>
      <c r="L126" s="55">
        <v>0.25</v>
      </c>
      <c r="M126" s="55">
        <v>0.25</v>
      </c>
      <c r="N126" s="55"/>
      <c r="O126" s="55"/>
    </row>
    <row r="127" spans="1:15">
      <c r="A127" s="55">
        <v>86</v>
      </c>
      <c r="B127" s="55" t="s">
        <v>219</v>
      </c>
      <c r="C127" s="55" t="s">
        <v>19</v>
      </c>
      <c r="D127" s="22">
        <v>12</v>
      </c>
      <c r="E127" s="22">
        <v>18</v>
      </c>
      <c r="F127" s="22">
        <v>12</v>
      </c>
      <c r="G127" s="22">
        <v>18</v>
      </c>
      <c r="H127" s="55">
        <v>-33.33</v>
      </c>
      <c r="I127" s="55">
        <v>-33.33</v>
      </c>
      <c r="J127" s="55">
        <v>0.13</v>
      </c>
      <c r="K127" s="55">
        <v>0.13</v>
      </c>
      <c r="L127" s="55">
        <v>0.24</v>
      </c>
      <c r="M127" s="55">
        <v>0.24</v>
      </c>
      <c r="N127" s="55"/>
      <c r="O127" s="55"/>
    </row>
    <row r="128" spans="1:15" hidden="1">
      <c r="A128" s="55">
        <v>87</v>
      </c>
      <c r="B128" s="55" t="s">
        <v>1081</v>
      </c>
      <c r="C128" s="55" t="s">
        <v>20</v>
      </c>
      <c r="D128" s="22">
        <v>12</v>
      </c>
      <c r="E128" s="22">
        <v>0</v>
      </c>
      <c r="F128" s="22">
        <v>12</v>
      </c>
      <c r="G128" s="22">
        <v>0</v>
      </c>
      <c r="H128" s="55">
        <v>0</v>
      </c>
      <c r="I128" s="55">
        <v>0</v>
      </c>
      <c r="J128" s="55">
        <v>0.13</v>
      </c>
      <c r="K128" s="55">
        <v>0.13</v>
      </c>
      <c r="L128" s="55">
        <v>0</v>
      </c>
      <c r="M128" s="55">
        <v>0</v>
      </c>
      <c r="N128" s="55"/>
      <c r="O128" s="55"/>
    </row>
    <row r="129" spans="1:15" hidden="1">
      <c r="A129" s="55">
        <v>88</v>
      </c>
      <c r="B129" s="55" t="s">
        <v>547</v>
      </c>
      <c r="C129" s="55" t="s">
        <v>20</v>
      </c>
      <c r="D129" s="22">
        <v>12</v>
      </c>
      <c r="E129" s="22">
        <v>0</v>
      </c>
      <c r="F129" s="22">
        <v>12</v>
      </c>
      <c r="G129" s="22">
        <v>0</v>
      </c>
      <c r="H129" s="55">
        <v>0</v>
      </c>
      <c r="I129" s="55">
        <v>0</v>
      </c>
      <c r="J129" s="55">
        <v>0.13</v>
      </c>
      <c r="K129" s="55">
        <v>0.13</v>
      </c>
      <c r="L129" s="55">
        <v>0</v>
      </c>
      <c r="M129" s="55">
        <v>0</v>
      </c>
      <c r="N129" s="55"/>
      <c r="O129" s="55"/>
    </row>
    <row r="130" spans="1:15">
      <c r="A130" s="55">
        <v>89</v>
      </c>
      <c r="B130" s="55" t="s">
        <v>998</v>
      </c>
      <c r="C130" s="55" t="s">
        <v>19</v>
      </c>
      <c r="D130" s="22">
        <v>12</v>
      </c>
      <c r="E130" s="22">
        <v>0</v>
      </c>
      <c r="F130" s="22">
        <v>12</v>
      </c>
      <c r="G130" s="22">
        <v>0</v>
      </c>
      <c r="H130" s="55">
        <v>0</v>
      </c>
      <c r="I130" s="55">
        <v>0</v>
      </c>
      <c r="J130" s="55">
        <v>0.13</v>
      </c>
      <c r="K130" s="55">
        <v>0.13</v>
      </c>
      <c r="L130" s="55">
        <v>0</v>
      </c>
      <c r="M130" s="55">
        <v>0</v>
      </c>
      <c r="N130" s="55"/>
      <c r="O130" s="55"/>
    </row>
    <row r="131" spans="1:15" hidden="1">
      <c r="A131" s="55">
        <v>90</v>
      </c>
      <c r="B131" s="55" t="s">
        <v>999</v>
      </c>
      <c r="C131" s="55" t="s">
        <v>20</v>
      </c>
      <c r="D131" s="22">
        <v>12</v>
      </c>
      <c r="E131" s="22">
        <v>0</v>
      </c>
      <c r="F131" s="22">
        <v>12</v>
      </c>
      <c r="G131" s="22">
        <v>0</v>
      </c>
      <c r="H131" s="55">
        <v>0</v>
      </c>
      <c r="I131" s="55">
        <v>0</v>
      </c>
      <c r="J131" s="55">
        <v>0.13</v>
      </c>
      <c r="K131" s="55">
        <v>0.13</v>
      </c>
      <c r="L131" s="55">
        <v>0</v>
      </c>
      <c r="M131" s="55">
        <v>0</v>
      </c>
      <c r="N131" s="55"/>
      <c r="O131" s="55"/>
    </row>
    <row r="132" spans="1:15">
      <c r="A132" s="55">
        <v>91</v>
      </c>
      <c r="B132" s="55" t="s">
        <v>577</v>
      </c>
      <c r="C132" s="55" t="s">
        <v>19</v>
      </c>
      <c r="D132" s="22">
        <v>11</v>
      </c>
      <c r="E132" s="22">
        <v>13</v>
      </c>
      <c r="F132" s="22">
        <v>11</v>
      </c>
      <c r="G132" s="22">
        <v>13</v>
      </c>
      <c r="H132" s="55">
        <v>-15.38</v>
      </c>
      <c r="I132" s="55">
        <v>-15.38</v>
      </c>
      <c r="J132" s="55">
        <v>0.12</v>
      </c>
      <c r="K132" s="55">
        <v>0.12</v>
      </c>
      <c r="L132" s="55">
        <v>0.17</v>
      </c>
      <c r="M132" s="55">
        <v>0.17</v>
      </c>
      <c r="N132" s="55"/>
      <c r="O132" s="55"/>
    </row>
    <row r="133" spans="1:15">
      <c r="A133" s="55">
        <v>92</v>
      </c>
      <c r="B133" s="55" t="s">
        <v>164</v>
      </c>
      <c r="C133" s="55" t="s">
        <v>19</v>
      </c>
      <c r="D133" s="22">
        <v>11</v>
      </c>
      <c r="E133" s="22">
        <v>9</v>
      </c>
      <c r="F133" s="22">
        <v>11</v>
      </c>
      <c r="G133" s="22">
        <v>9</v>
      </c>
      <c r="H133" s="55">
        <v>22.22</v>
      </c>
      <c r="I133" s="55">
        <v>22.22</v>
      </c>
      <c r="J133" s="55">
        <v>0.12</v>
      </c>
      <c r="K133" s="55">
        <v>0.12</v>
      </c>
      <c r="L133" s="55">
        <v>0.12</v>
      </c>
      <c r="M133" s="55">
        <v>0.12</v>
      </c>
      <c r="N133" s="55"/>
      <c r="O133" s="55"/>
    </row>
    <row r="134" spans="1:15">
      <c r="A134" s="55">
        <v>93</v>
      </c>
      <c r="B134" s="55" t="s">
        <v>1065</v>
      </c>
      <c r="C134" s="55" t="s">
        <v>19</v>
      </c>
      <c r="D134" s="22">
        <v>11</v>
      </c>
      <c r="E134" s="22">
        <v>0</v>
      </c>
      <c r="F134" s="22">
        <v>11</v>
      </c>
      <c r="G134" s="22">
        <v>0</v>
      </c>
      <c r="H134" s="55">
        <v>0</v>
      </c>
      <c r="I134" s="55">
        <v>0</v>
      </c>
      <c r="J134" s="55">
        <v>0.12</v>
      </c>
      <c r="K134" s="55">
        <v>0.12</v>
      </c>
      <c r="L134" s="55">
        <v>0</v>
      </c>
      <c r="M134" s="55">
        <v>0</v>
      </c>
      <c r="N134" s="55"/>
      <c r="O134" s="55"/>
    </row>
    <row r="135" spans="1:15" hidden="1">
      <c r="A135" s="55">
        <v>94</v>
      </c>
      <c r="B135" s="55" t="s">
        <v>1091</v>
      </c>
      <c r="C135" s="55" t="s">
        <v>20</v>
      </c>
      <c r="D135" s="22">
        <v>11</v>
      </c>
      <c r="E135" s="22">
        <v>0</v>
      </c>
      <c r="F135" s="22">
        <v>11</v>
      </c>
      <c r="G135" s="22">
        <v>0</v>
      </c>
      <c r="H135" s="55">
        <v>0</v>
      </c>
      <c r="I135" s="55">
        <v>0</v>
      </c>
      <c r="J135" s="55">
        <v>0.12</v>
      </c>
      <c r="K135" s="55">
        <v>0.12</v>
      </c>
      <c r="L135" s="55">
        <v>0</v>
      </c>
      <c r="M135" s="55">
        <v>0</v>
      </c>
      <c r="N135" s="55"/>
      <c r="O135" s="55"/>
    </row>
    <row r="136" spans="1:15" hidden="1">
      <c r="A136" s="55">
        <v>95</v>
      </c>
      <c r="B136" s="55" t="s">
        <v>636</v>
      </c>
      <c r="C136" s="55" t="s">
        <v>20</v>
      </c>
      <c r="D136" s="22">
        <v>9</v>
      </c>
      <c r="E136" s="22">
        <v>38</v>
      </c>
      <c r="F136" s="22">
        <v>9</v>
      </c>
      <c r="G136" s="22">
        <v>38</v>
      </c>
      <c r="H136" s="55">
        <v>-76.319999999999993</v>
      </c>
      <c r="I136" s="55">
        <v>-76.319999999999993</v>
      </c>
      <c r="J136" s="55">
        <v>0.1</v>
      </c>
      <c r="K136" s="55">
        <v>0.1</v>
      </c>
      <c r="L136" s="55">
        <v>0.5</v>
      </c>
      <c r="M136" s="55">
        <v>0.5</v>
      </c>
      <c r="N136" s="55"/>
      <c r="O136" s="55"/>
    </row>
    <row r="137" spans="1:15">
      <c r="A137" s="55">
        <v>96</v>
      </c>
      <c r="B137" s="55" t="s">
        <v>146</v>
      </c>
      <c r="C137" s="55" t="s">
        <v>19</v>
      </c>
      <c r="D137" s="22">
        <v>9</v>
      </c>
      <c r="E137" s="22">
        <v>11</v>
      </c>
      <c r="F137" s="22">
        <v>9</v>
      </c>
      <c r="G137" s="22">
        <v>11</v>
      </c>
      <c r="H137" s="55">
        <v>-18.18</v>
      </c>
      <c r="I137" s="55">
        <v>-18.18</v>
      </c>
      <c r="J137" s="55">
        <v>0.1</v>
      </c>
      <c r="K137" s="55">
        <v>0.1</v>
      </c>
      <c r="L137" s="55">
        <v>0.14000000000000001</v>
      </c>
      <c r="M137" s="55">
        <v>0.14000000000000001</v>
      </c>
      <c r="N137" s="55"/>
      <c r="O137" s="55"/>
    </row>
    <row r="138" spans="1:15">
      <c r="A138" s="55">
        <v>97</v>
      </c>
      <c r="B138" s="55" t="s">
        <v>220</v>
      </c>
      <c r="C138" s="55" t="s">
        <v>19</v>
      </c>
      <c r="D138" s="22">
        <v>9</v>
      </c>
      <c r="E138" s="22">
        <v>0</v>
      </c>
      <c r="F138" s="22">
        <v>9</v>
      </c>
      <c r="G138" s="22">
        <v>0</v>
      </c>
      <c r="H138" s="55">
        <v>0</v>
      </c>
      <c r="I138" s="55">
        <v>0</v>
      </c>
      <c r="J138" s="55">
        <v>0.1</v>
      </c>
      <c r="K138" s="55">
        <v>0.1</v>
      </c>
      <c r="L138" s="55">
        <v>0</v>
      </c>
      <c r="M138" s="55">
        <v>0</v>
      </c>
      <c r="N138" s="55"/>
      <c r="O138" s="55"/>
    </row>
    <row r="139" spans="1:15" hidden="1">
      <c r="A139" s="55">
        <v>98</v>
      </c>
      <c r="B139" s="55" t="s">
        <v>1000</v>
      </c>
      <c r="C139" s="55" t="s">
        <v>20</v>
      </c>
      <c r="D139" s="22">
        <v>9</v>
      </c>
      <c r="E139" s="22">
        <v>0</v>
      </c>
      <c r="F139" s="22">
        <v>9</v>
      </c>
      <c r="G139" s="22">
        <v>0</v>
      </c>
      <c r="H139" s="55">
        <v>0</v>
      </c>
      <c r="I139" s="55">
        <v>0</v>
      </c>
      <c r="J139" s="55">
        <v>0.1</v>
      </c>
      <c r="K139" s="55">
        <v>0.1</v>
      </c>
      <c r="L139" s="55">
        <v>0</v>
      </c>
      <c r="M139" s="55">
        <v>0</v>
      </c>
      <c r="N139" s="55"/>
      <c r="O139" s="55"/>
    </row>
    <row r="140" spans="1:15">
      <c r="A140" s="55">
        <v>99</v>
      </c>
      <c r="B140" s="55" t="s">
        <v>457</v>
      </c>
      <c r="C140" s="55" t="s">
        <v>19</v>
      </c>
      <c r="D140" s="22">
        <v>9</v>
      </c>
      <c r="E140" s="22">
        <v>0</v>
      </c>
      <c r="F140" s="22">
        <v>9</v>
      </c>
      <c r="G140" s="22">
        <v>0</v>
      </c>
      <c r="H140" s="55">
        <v>0</v>
      </c>
      <c r="I140" s="55">
        <v>0</v>
      </c>
      <c r="J140" s="55">
        <v>0.1</v>
      </c>
      <c r="K140" s="55">
        <v>0.1</v>
      </c>
      <c r="L140" s="55">
        <v>0</v>
      </c>
      <c r="M140" s="55">
        <v>0</v>
      </c>
      <c r="N140" s="55"/>
      <c r="O140" s="55"/>
    </row>
    <row r="141" spans="1:15">
      <c r="A141" s="55">
        <v>100</v>
      </c>
      <c r="B141" s="55" t="s">
        <v>550</v>
      </c>
      <c r="C141" s="55" t="s">
        <v>19</v>
      </c>
      <c r="D141" s="22">
        <v>8</v>
      </c>
      <c r="E141" s="22">
        <v>10</v>
      </c>
      <c r="F141" s="22">
        <v>8</v>
      </c>
      <c r="G141" s="22">
        <v>10</v>
      </c>
      <c r="H141" s="55">
        <v>-20</v>
      </c>
      <c r="I141" s="55">
        <v>-20</v>
      </c>
      <c r="J141" s="55">
        <v>0.09</v>
      </c>
      <c r="K141" s="55">
        <v>0.09</v>
      </c>
      <c r="L141" s="55">
        <v>0.13</v>
      </c>
      <c r="M141" s="55">
        <v>0.13</v>
      </c>
      <c r="N141" s="55"/>
      <c r="O141" s="55"/>
    </row>
    <row r="142" spans="1:15" hidden="1">
      <c r="A142" s="55">
        <v>101</v>
      </c>
      <c r="B142" s="55" t="s">
        <v>592</v>
      </c>
      <c r="C142" s="55" t="s">
        <v>20</v>
      </c>
      <c r="D142" s="22">
        <v>8</v>
      </c>
      <c r="E142" s="22">
        <v>0</v>
      </c>
      <c r="F142" s="22">
        <v>8</v>
      </c>
      <c r="G142" s="22">
        <v>0</v>
      </c>
      <c r="H142" s="55">
        <v>0</v>
      </c>
      <c r="I142" s="55">
        <v>0</v>
      </c>
      <c r="J142" s="55">
        <v>0.09</v>
      </c>
      <c r="K142" s="55">
        <v>0.09</v>
      </c>
      <c r="L142" s="55">
        <v>0</v>
      </c>
      <c r="M142" s="55">
        <v>0</v>
      </c>
      <c r="N142" s="55"/>
      <c r="O142" s="55"/>
    </row>
    <row r="143" spans="1:15">
      <c r="A143" s="55">
        <v>102</v>
      </c>
      <c r="B143" s="55" t="s">
        <v>354</v>
      </c>
      <c r="C143" s="55" t="s">
        <v>19</v>
      </c>
      <c r="D143" s="22">
        <v>7</v>
      </c>
      <c r="E143" s="22">
        <v>57</v>
      </c>
      <c r="F143" s="22">
        <v>7</v>
      </c>
      <c r="G143" s="22">
        <v>57</v>
      </c>
      <c r="H143" s="55">
        <v>-87.72</v>
      </c>
      <c r="I143" s="55">
        <v>-87.72</v>
      </c>
      <c r="J143" s="55">
        <v>0.08</v>
      </c>
      <c r="K143" s="55">
        <v>0.08</v>
      </c>
      <c r="L143" s="55">
        <v>0.75</v>
      </c>
      <c r="M143" s="55">
        <v>0.75</v>
      </c>
      <c r="N143" s="55"/>
      <c r="O143" s="55"/>
    </row>
    <row r="144" spans="1:15" hidden="1">
      <c r="A144" s="55">
        <v>103</v>
      </c>
      <c r="B144" s="55" t="s">
        <v>1121</v>
      </c>
      <c r="C144" s="55" t="s">
        <v>20</v>
      </c>
      <c r="D144" s="22">
        <v>7</v>
      </c>
      <c r="E144" s="22">
        <v>0</v>
      </c>
      <c r="F144" s="22">
        <v>7</v>
      </c>
      <c r="G144" s="22">
        <v>0</v>
      </c>
      <c r="H144" s="55">
        <v>0</v>
      </c>
      <c r="I144" s="55">
        <v>0</v>
      </c>
      <c r="J144" s="55">
        <v>0.08</v>
      </c>
      <c r="K144" s="55">
        <v>0.08</v>
      </c>
      <c r="L144" s="55">
        <v>0</v>
      </c>
      <c r="M144" s="55">
        <v>0</v>
      </c>
      <c r="N144" s="55"/>
      <c r="O144" s="55"/>
    </row>
    <row r="145" spans="1:15" hidden="1">
      <c r="A145" s="55">
        <v>104</v>
      </c>
      <c r="B145" s="55" t="s">
        <v>995</v>
      </c>
      <c r="C145" s="55" t="s">
        <v>20</v>
      </c>
      <c r="D145" s="22">
        <v>7</v>
      </c>
      <c r="E145" s="22">
        <v>0</v>
      </c>
      <c r="F145" s="22">
        <v>7</v>
      </c>
      <c r="G145" s="22">
        <v>0</v>
      </c>
      <c r="H145" s="55">
        <v>0</v>
      </c>
      <c r="I145" s="55">
        <v>0</v>
      </c>
      <c r="J145" s="55">
        <v>0.08</v>
      </c>
      <c r="K145" s="55">
        <v>0.08</v>
      </c>
      <c r="L145" s="55">
        <v>0</v>
      </c>
      <c r="M145" s="55">
        <v>0</v>
      </c>
      <c r="N145" s="55"/>
      <c r="O145" s="55"/>
    </row>
    <row r="146" spans="1:15">
      <c r="A146" s="55">
        <v>105</v>
      </c>
      <c r="B146" s="55" t="s">
        <v>1117</v>
      </c>
      <c r="C146" s="55" t="s">
        <v>19</v>
      </c>
      <c r="D146" s="22">
        <v>7</v>
      </c>
      <c r="E146" s="22">
        <v>0</v>
      </c>
      <c r="F146" s="22">
        <v>7</v>
      </c>
      <c r="G146" s="22">
        <v>0</v>
      </c>
      <c r="H146" s="55">
        <v>0</v>
      </c>
      <c r="I146" s="55">
        <v>0</v>
      </c>
      <c r="J146" s="55">
        <v>0.08</v>
      </c>
      <c r="K146" s="55">
        <v>0.08</v>
      </c>
      <c r="L146" s="55">
        <v>0</v>
      </c>
      <c r="M146" s="55">
        <v>0</v>
      </c>
      <c r="N146" s="55"/>
      <c r="O146" s="55"/>
    </row>
    <row r="147" spans="1:15">
      <c r="A147" s="55">
        <v>106</v>
      </c>
      <c r="B147" s="55" t="s">
        <v>404</v>
      </c>
      <c r="C147" s="55" t="s">
        <v>19</v>
      </c>
      <c r="D147" s="22">
        <v>6</v>
      </c>
      <c r="E147" s="22">
        <v>84</v>
      </c>
      <c r="F147" s="22">
        <v>6</v>
      </c>
      <c r="G147" s="22">
        <v>84</v>
      </c>
      <c r="H147" s="55">
        <v>-92.86</v>
      </c>
      <c r="I147" s="55">
        <v>-92.86</v>
      </c>
      <c r="J147" s="55">
        <v>7.0000000000000007E-2</v>
      </c>
      <c r="K147" s="55">
        <v>7.0000000000000007E-2</v>
      </c>
      <c r="L147" s="55">
        <v>1.1000000000000001</v>
      </c>
      <c r="M147" s="55">
        <v>1.1000000000000001</v>
      </c>
      <c r="N147" s="55"/>
      <c r="O147" s="55"/>
    </row>
    <row r="148" spans="1:15" hidden="1">
      <c r="A148" s="55">
        <v>107</v>
      </c>
      <c r="B148" s="55" t="s">
        <v>541</v>
      </c>
      <c r="C148" s="55" t="s">
        <v>20</v>
      </c>
      <c r="D148" s="22">
        <v>6</v>
      </c>
      <c r="E148" s="22">
        <v>49</v>
      </c>
      <c r="F148" s="22">
        <v>6</v>
      </c>
      <c r="G148" s="22">
        <v>49</v>
      </c>
      <c r="H148" s="55">
        <v>-87.76</v>
      </c>
      <c r="I148" s="55">
        <v>-87.76</v>
      </c>
      <c r="J148" s="55">
        <v>7.0000000000000007E-2</v>
      </c>
      <c r="K148" s="55">
        <v>7.0000000000000007E-2</v>
      </c>
      <c r="L148" s="55">
        <v>0.64</v>
      </c>
      <c r="M148" s="55">
        <v>0.64</v>
      </c>
      <c r="N148" s="55"/>
      <c r="O148" s="55"/>
    </row>
    <row r="149" spans="1:15" hidden="1">
      <c r="A149" s="55">
        <v>108</v>
      </c>
      <c r="B149" s="55" t="s">
        <v>132</v>
      </c>
      <c r="C149" s="55" t="s">
        <v>20</v>
      </c>
      <c r="D149" s="22">
        <v>6</v>
      </c>
      <c r="E149" s="22">
        <v>20</v>
      </c>
      <c r="F149" s="22">
        <v>6</v>
      </c>
      <c r="G149" s="22">
        <v>20</v>
      </c>
      <c r="H149" s="55">
        <v>-70</v>
      </c>
      <c r="I149" s="55">
        <v>-70</v>
      </c>
      <c r="J149" s="55">
        <v>7.0000000000000007E-2</v>
      </c>
      <c r="K149" s="55">
        <v>7.0000000000000007E-2</v>
      </c>
      <c r="L149" s="55">
        <v>0.26</v>
      </c>
      <c r="M149" s="55">
        <v>0.26</v>
      </c>
      <c r="N149" s="55"/>
      <c r="O149" s="55"/>
    </row>
    <row r="150" spans="1:15">
      <c r="A150" s="55">
        <v>109</v>
      </c>
      <c r="B150" s="55" t="s">
        <v>385</v>
      </c>
      <c r="C150" s="55" t="s">
        <v>19</v>
      </c>
      <c r="D150" s="22">
        <v>6</v>
      </c>
      <c r="E150" s="22">
        <v>7</v>
      </c>
      <c r="F150" s="22">
        <v>6</v>
      </c>
      <c r="G150" s="22">
        <v>7</v>
      </c>
      <c r="H150" s="55">
        <v>-14.29</v>
      </c>
      <c r="I150" s="55">
        <v>-14.29</v>
      </c>
      <c r="J150" s="55">
        <v>7.0000000000000007E-2</v>
      </c>
      <c r="K150" s="55">
        <v>7.0000000000000007E-2</v>
      </c>
      <c r="L150" s="55">
        <v>0.09</v>
      </c>
      <c r="M150" s="55">
        <v>0.09</v>
      </c>
      <c r="N150" s="55"/>
      <c r="O150" s="55"/>
    </row>
    <row r="151" spans="1:15">
      <c r="A151" s="55">
        <v>110</v>
      </c>
      <c r="B151" s="55" t="s">
        <v>560</v>
      </c>
      <c r="C151" s="55" t="s">
        <v>19</v>
      </c>
      <c r="D151" s="22">
        <v>6</v>
      </c>
      <c r="E151" s="22">
        <v>5</v>
      </c>
      <c r="F151" s="22">
        <v>6</v>
      </c>
      <c r="G151" s="22">
        <v>5</v>
      </c>
      <c r="H151" s="55">
        <v>20</v>
      </c>
      <c r="I151" s="55">
        <v>20</v>
      </c>
      <c r="J151" s="55">
        <v>7.0000000000000007E-2</v>
      </c>
      <c r="K151" s="55">
        <v>7.0000000000000007E-2</v>
      </c>
      <c r="L151" s="55">
        <v>7.0000000000000007E-2</v>
      </c>
      <c r="M151" s="55">
        <v>7.0000000000000007E-2</v>
      </c>
      <c r="N151" s="55"/>
      <c r="O151" s="55"/>
    </row>
    <row r="152" spans="1:15">
      <c r="A152" s="55">
        <v>111</v>
      </c>
      <c r="B152" s="55" t="s">
        <v>1020</v>
      </c>
      <c r="C152" s="55" t="s">
        <v>19</v>
      </c>
      <c r="D152" s="22">
        <v>6</v>
      </c>
      <c r="E152" s="22">
        <v>0</v>
      </c>
      <c r="F152" s="22">
        <v>6</v>
      </c>
      <c r="G152" s="22">
        <v>0</v>
      </c>
      <c r="H152" s="55">
        <v>0</v>
      </c>
      <c r="I152" s="55">
        <v>0</v>
      </c>
      <c r="J152" s="55">
        <v>7.0000000000000007E-2</v>
      </c>
      <c r="K152" s="55">
        <v>7.0000000000000007E-2</v>
      </c>
      <c r="L152" s="55">
        <v>0</v>
      </c>
      <c r="M152" s="55">
        <v>0</v>
      </c>
      <c r="N152" s="55"/>
      <c r="O152" s="55"/>
    </row>
    <row r="153" spans="1:15">
      <c r="A153" s="55">
        <v>112</v>
      </c>
      <c r="B153" s="55" t="s">
        <v>1001</v>
      </c>
      <c r="C153" s="55" t="s">
        <v>19</v>
      </c>
      <c r="D153" s="22">
        <v>6</v>
      </c>
      <c r="E153" s="22">
        <v>0</v>
      </c>
      <c r="F153" s="22">
        <v>6</v>
      </c>
      <c r="G153" s="22">
        <v>0</v>
      </c>
      <c r="H153" s="62">
        <v>0</v>
      </c>
      <c r="I153" s="62">
        <v>0</v>
      </c>
      <c r="J153" s="55">
        <v>7.0000000000000007E-2</v>
      </c>
      <c r="K153" s="55">
        <v>7.0000000000000007E-2</v>
      </c>
      <c r="L153" s="55">
        <v>0</v>
      </c>
      <c r="M153" s="55">
        <v>0</v>
      </c>
      <c r="N153" s="55"/>
      <c r="O153" s="55"/>
    </row>
    <row r="154" spans="1:15">
      <c r="A154" s="55">
        <v>113</v>
      </c>
      <c r="B154" s="55" t="s">
        <v>549</v>
      </c>
      <c r="C154" s="55" t="s">
        <v>19</v>
      </c>
      <c r="D154" s="22">
        <v>6</v>
      </c>
      <c r="E154" s="22">
        <v>0</v>
      </c>
      <c r="F154" s="22">
        <v>6</v>
      </c>
      <c r="G154" s="22">
        <v>0</v>
      </c>
      <c r="H154" s="55">
        <v>0</v>
      </c>
      <c r="I154" s="55">
        <v>0</v>
      </c>
      <c r="J154" s="55">
        <v>7.0000000000000007E-2</v>
      </c>
      <c r="K154" s="55">
        <v>7.0000000000000007E-2</v>
      </c>
      <c r="L154" s="55">
        <v>0</v>
      </c>
      <c r="M154" s="55">
        <v>0</v>
      </c>
      <c r="N154" s="55"/>
      <c r="O154" s="55"/>
    </row>
    <row r="155" spans="1:15" hidden="1">
      <c r="A155" s="55">
        <v>114</v>
      </c>
      <c r="B155" s="55" t="s">
        <v>631</v>
      </c>
      <c r="C155" s="55" t="s">
        <v>20</v>
      </c>
      <c r="D155" s="22">
        <v>5</v>
      </c>
      <c r="E155" s="22">
        <v>57</v>
      </c>
      <c r="F155" s="22">
        <v>5</v>
      </c>
      <c r="G155" s="22">
        <v>57</v>
      </c>
      <c r="H155" s="55">
        <v>-91.23</v>
      </c>
      <c r="I155" s="55">
        <v>-91.23</v>
      </c>
      <c r="J155" s="55">
        <v>0.06</v>
      </c>
      <c r="K155" s="55">
        <v>0.06</v>
      </c>
      <c r="L155" s="55">
        <v>0.75</v>
      </c>
      <c r="M155" s="55">
        <v>0.75</v>
      </c>
      <c r="N155" s="55"/>
      <c r="O155" s="55"/>
    </row>
    <row r="156" spans="1:15" hidden="1">
      <c r="A156" s="55">
        <v>115</v>
      </c>
      <c r="B156" s="55" t="s">
        <v>98</v>
      </c>
      <c r="C156" s="55" t="s">
        <v>20</v>
      </c>
      <c r="D156" s="22">
        <v>5</v>
      </c>
      <c r="E156" s="22">
        <v>57</v>
      </c>
      <c r="F156" s="22">
        <v>5</v>
      </c>
      <c r="G156" s="22">
        <v>57</v>
      </c>
      <c r="H156" s="55">
        <v>-91.23</v>
      </c>
      <c r="I156" s="55">
        <v>-91.23</v>
      </c>
      <c r="J156" s="55">
        <v>0.06</v>
      </c>
      <c r="K156" s="55">
        <v>0.06</v>
      </c>
      <c r="L156" s="55">
        <v>0.75</v>
      </c>
      <c r="M156" s="55">
        <v>0.75</v>
      </c>
      <c r="N156" s="55"/>
      <c r="O156" s="55"/>
    </row>
    <row r="157" spans="1:15" hidden="1">
      <c r="A157" s="55">
        <v>116</v>
      </c>
      <c r="B157" s="55" t="s">
        <v>381</v>
      </c>
      <c r="C157" s="55" t="s">
        <v>20</v>
      </c>
      <c r="D157" s="22">
        <v>5</v>
      </c>
      <c r="E157" s="22">
        <v>48</v>
      </c>
      <c r="F157" s="22">
        <v>5</v>
      </c>
      <c r="G157" s="22">
        <v>48</v>
      </c>
      <c r="H157" s="55">
        <v>-89.58</v>
      </c>
      <c r="I157" s="55">
        <v>-89.58</v>
      </c>
      <c r="J157" s="55">
        <v>0.06</v>
      </c>
      <c r="K157" s="55">
        <v>0.06</v>
      </c>
      <c r="L157" s="55">
        <v>0.63</v>
      </c>
      <c r="M157" s="55">
        <v>0.63</v>
      </c>
      <c r="N157" s="55"/>
      <c r="O157" s="55"/>
    </row>
    <row r="158" spans="1:15" hidden="1">
      <c r="A158" s="55">
        <v>117</v>
      </c>
      <c r="B158" s="55" t="s">
        <v>953</v>
      </c>
      <c r="C158" s="55" t="s">
        <v>20</v>
      </c>
      <c r="D158" s="22">
        <v>5</v>
      </c>
      <c r="E158" s="22">
        <v>7</v>
      </c>
      <c r="F158" s="22">
        <v>5</v>
      </c>
      <c r="G158" s="22">
        <v>7</v>
      </c>
      <c r="H158" s="55">
        <v>-28.57</v>
      </c>
      <c r="I158" s="55">
        <v>-28.57</v>
      </c>
      <c r="J158" s="55">
        <v>0.06</v>
      </c>
      <c r="K158" s="55">
        <v>0.06</v>
      </c>
      <c r="L158" s="55">
        <v>0.09</v>
      </c>
      <c r="M158" s="55">
        <v>0.09</v>
      </c>
      <c r="N158" s="55"/>
      <c r="O158" s="55"/>
    </row>
    <row r="159" spans="1:15" hidden="1">
      <c r="A159" s="55">
        <v>118</v>
      </c>
      <c r="B159" s="55" t="s">
        <v>933</v>
      </c>
      <c r="C159" s="55" t="s">
        <v>20</v>
      </c>
      <c r="D159" s="22">
        <v>5</v>
      </c>
      <c r="E159" s="22">
        <v>1</v>
      </c>
      <c r="F159" s="22">
        <v>5</v>
      </c>
      <c r="G159" s="22">
        <v>1</v>
      </c>
      <c r="H159" s="55">
        <v>400</v>
      </c>
      <c r="I159" s="55">
        <v>400</v>
      </c>
      <c r="J159" s="55">
        <v>0.06</v>
      </c>
      <c r="K159" s="55">
        <v>0.06</v>
      </c>
      <c r="L159" s="55">
        <v>0.01</v>
      </c>
      <c r="M159" s="55">
        <v>0.01</v>
      </c>
      <c r="N159" s="55"/>
      <c r="O159" s="55"/>
    </row>
    <row r="160" spans="1:15">
      <c r="A160" s="55">
        <v>119</v>
      </c>
      <c r="B160" s="55" t="s">
        <v>1013</v>
      </c>
      <c r="C160" s="55" t="s">
        <v>19</v>
      </c>
      <c r="D160" s="22">
        <v>5</v>
      </c>
      <c r="E160" s="22">
        <v>0</v>
      </c>
      <c r="F160" s="22">
        <v>5</v>
      </c>
      <c r="G160" s="22">
        <v>0</v>
      </c>
      <c r="H160" s="55">
        <v>0</v>
      </c>
      <c r="I160" s="55">
        <v>0</v>
      </c>
      <c r="J160" s="55">
        <v>0.06</v>
      </c>
      <c r="K160" s="55">
        <v>0.06</v>
      </c>
      <c r="L160" s="55">
        <v>0</v>
      </c>
      <c r="M160" s="55">
        <v>0</v>
      </c>
      <c r="N160" s="55"/>
      <c r="O160" s="55"/>
    </row>
    <row r="161" spans="1:15" hidden="1">
      <c r="A161" s="55">
        <v>120</v>
      </c>
      <c r="B161" s="55" t="s">
        <v>1022</v>
      </c>
      <c r="C161" s="55" t="s">
        <v>20</v>
      </c>
      <c r="D161" s="22">
        <v>5</v>
      </c>
      <c r="E161" s="22">
        <v>0</v>
      </c>
      <c r="F161" s="22">
        <v>5</v>
      </c>
      <c r="G161" s="22">
        <v>0</v>
      </c>
      <c r="H161" s="55">
        <v>0</v>
      </c>
      <c r="I161" s="55">
        <v>0</v>
      </c>
      <c r="J161" s="55">
        <v>0.06</v>
      </c>
      <c r="K161" s="55">
        <v>0.06</v>
      </c>
      <c r="L161" s="55">
        <v>0</v>
      </c>
      <c r="M161" s="55">
        <v>0</v>
      </c>
      <c r="N161" s="55"/>
      <c r="O161" s="55"/>
    </row>
    <row r="162" spans="1:15" hidden="1">
      <c r="A162" s="55">
        <v>121</v>
      </c>
      <c r="B162" s="55" t="s">
        <v>531</v>
      </c>
      <c r="C162" s="55" t="s">
        <v>20</v>
      </c>
      <c r="D162" s="22">
        <v>5</v>
      </c>
      <c r="E162" s="22">
        <v>0</v>
      </c>
      <c r="F162" s="22">
        <v>5</v>
      </c>
      <c r="G162" s="22">
        <v>0</v>
      </c>
      <c r="H162" s="55">
        <v>0</v>
      </c>
      <c r="I162" s="55">
        <v>0</v>
      </c>
      <c r="J162" s="55">
        <v>0.06</v>
      </c>
      <c r="K162" s="55">
        <v>0.06</v>
      </c>
      <c r="L162" s="55">
        <v>0</v>
      </c>
      <c r="M162" s="55">
        <v>0</v>
      </c>
      <c r="N162" s="55"/>
      <c r="O162" s="55"/>
    </row>
    <row r="163" spans="1:15" hidden="1">
      <c r="A163" s="55">
        <v>122</v>
      </c>
      <c r="B163" s="55" t="s">
        <v>584</v>
      </c>
      <c r="C163" s="55" t="s">
        <v>20</v>
      </c>
      <c r="D163" s="22">
        <v>4</v>
      </c>
      <c r="E163" s="22">
        <v>55</v>
      </c>
      <c r="F163" s="22">
        <v>4</v>
      </c>
      <c r="G163" s="22">
        <v>55</v>
      </c>
      <c r="H163" s="55">
        <v>-92.73</v>
      </c>
      <c r="I163" s="55">
        <v>-92.73</v>
      </c>
      <c r="J163" s="55">
        <v>0.04</v>
      </c>
      <c r="K163" s="55">
        <v>0.04</v>
      </c>
      <c r="L163" s="55">
        <v>0.72</v>
      </c>
      <c r="M163" s="55">
        <v>0.72</v>
      </c>
      <c r="N163" s="55"/>
      <c r="O163" s="55"/>
    </row>
    <row r="164" spans="1:15" hidden="1">
      <c r="A164" s="55">
        <v>123</v>
      </c>
      <c r="B164" s="55" t="s">
        <v>406</v>
      </c>
      <c r="C164" s="55" t="s">
        <v>20</v>
      </c>
      <c r="D164" s="22">
        <v>4</v>
      </c>
      <c r="E164" s="22">
        <v>4</v>
      </c>
      <c r="F164" s="22">
        <v>4</v>
      </c>
      <c r="G164" s="22">
        <v>4</v>
      </c>
      <c r="H164" s="55">
        <v>0</v>
      </c>
      <c r="I164" s="55">
        <v>0</v>
      </c>
      <c r="J164" s="55">
        <v>0.04</v>
      </c>
      <c r="K164" s="55">
        <v>0.04</v>
      </c>
      <c r="L164" s="55">
        <v>0.05</v>
      </c>
      <c r="M164" s="55">
        <v>0.05</v>
      </c>
      <c r="N164" s="55"/>
      <c r="O164" s="55"/>
    </row>
    <row r="165" spans="1:15">
      <c r="A165" s="55">
        <v>124</v>
      </c>
      <c r="B165" s="55" t="s">
        <v>632</v>
      </c>
      <c r="C165" s="55" t="s">
        <v>19</v>
      </c>
      <c r="D165" s="22">
        <v>4</v>
      </c>
      <c r="E165" s="22">
        <v>1</v>
      </c>
      <c r="F165" s="22">
        <v>4</v>
      </c>
      <c r="G165" s="22">
        <v>1</v>
      </c>
      <c r="H165" s="55">
        <v>300</v>
      </c>
      <c r="I165" s="55">
        <v>300</v>
      </c>
      <c r="J165" s="55">
        <v>0.04</v>
      </c>
      <c r="K165" s="55">
        <v>0.04</v>
      </c>
      <c r="L165" s="55">
        <v>0.01</v>
      </c>
      <c r="M165" s="55">
        <v>0.01</v>
      </c>
      <c r="N165" s="55"/>
      <c r="O165" s="55"/>
    </row>
    <row r="166" spans="1:15">
      <c r="A166" s="55">
        <v>125</v>
      </c>
      <c r="B166" s="55" t="s">
        <v>460</v>
      </c>
      <c r="C166" s="55" t="s">
        <v>19</v>
      </c>
      <c r="D166" s="22">
        <v>4</v>
      </c>
      <c r="E166" s="22">
        <v>1</v>
      </c>
      <c r="F166" s="22">
        <v>4</v>
      </c>
      <c r="G166" s="22">
        <v>1</v>
      </c>
      <c r="H166" s="55">
        <v>300</v>
      </c>
      <c r="I166" s="55">
        <v>300</v>
      </c>
      <c r="J166" s="55">
        <v>0.04</v>
      </c>
      <c r="K166" s="55">
        <v>0.04</v>
      </c>
      <c r="L166" s="55">
        <v>0.01</v>
      </c>
      <c r="M166" s="55">
        <v>0.01</v>
      </c>
      <c r="N166" s="55"/>
      <c r="O166" s="55"/>
    </row>
    <row r="167" spans="1:15" hidden="1">
      <c r="A167" s="55">
        <v>126</v>
      </c>
      <c r="B167" s="55" t="s">
        <v>1014</v>
      </c>
      <c r="C167" s="55" t="s">
        <v>20</v>
      </c>
      <c r="D167" s="22">
        <v>4</v>
      </c>
      <c r="E167" s="22">
        <v>0</v>
      </c>
      <c r="F167" s="22">
        <v>4</v>
      </c>
      <c r="G167" s="22">
        <v>0</v>
      </c>
      <c r="H167" s="55">
        <v>0</v>
      </c>
      <c r="I167" s="55">
        <v>0</v>
      </c>
      <c r="J167" s="55">
        <v>0.04</v>
      </c>
      <c r="K167" s="55">
        <v>0.04</v>
      </c>
      <c r="L167" s="55">
        <v>0</v>
      </c>
      <c r="M167" s="55">
        <v>0</v>
      </c>
      <c r="N167" s="55"/>
      <c r="O167" s="55"/>
    </row>
    <row r="168" spans="1:15">
      <c r="A168" s="55">
        <v>127</v>
      </c>
      <c r="B168" s="55" t="s">
        <v>956</v>
      </c>
      <c r="C168" s="55" t="s">
        <v>19</v>
      </c>
      <c r="D168" s="22">
        <v>4</v>
      </c>
      <c r="E168" s="22">
        <v>0</v>
      </c>
      <c r="F168" s="22">
        <v>4</v>
      </c>
      <c r="G168" s="22">
        <v>0</v>
      </c>
      <c r="H168" s="55">
        <v>0</v>
      </c>
      <c r="I168" s="55">
        <v>0</v>
      </c>
      <c r="J168" s="55">
        <v>0.04</v>
      </c>
      <c r="K168" s="55">
        <v>0.04</v>
      </c>
      <c r="L168" s="55">
        <v>0</v>
      </c>
      <c r="M168" s="55">
        <v>0</v>
      </c>
      <c r="N168" s="55"/>
      <c r="O168" s="55"/>
    </row>
    <row r="169" spans="1:15">
      <c r="A169" s="55">
        <v>128</v>
      </c>
      <c r="B169" s="55" t="s">
        <v>393</v>
      </c>
      <c r="C169" s="55" t="s">
        <v>19</v>
      </c>
      <c r="D169" s="22">
        <v>4</v>
      </c>
      <c r="E169" s="22">
        <v>0</v>
      </c>
      <c r="F169" s="22">
        <v>4</v>
      </c>
      <c r="G169" s="22">
        <v>0</v>
      </c>
      <c r="H169" s="55">
        <v>0</v>
      </c>
      <c r="I169" s="55">
        <v>0</v>
      </c>
      <c r="J169" s="55">
        <v>0.04</v>
      </c>
      <c r="K169" s="55">
        <v>0.04</v>
      </c>
      <c r="L169" s="55">
        <v>0</v>
      </c>
      <c r="M169" s="55">
        <v>0</v>
      </c>
      <c r="N169" s="55"/>
      <c r="O169" s="55"/>
    </row>
    <row r="170" spans="1:15">
      <c r="A170" s="55">
        <v>129</v>
      </c>
      <c r="B170" s="55" t="s">
        <v>1061</v>
      </c>
      <c r="C170" s="55" t="s">
        <v>19</v>
      </c>
      <c r="D170" s="22">
        <v>4</v>
      </c>
      <c r="E170" s="22">
        <v>0</v>
      </c>
      <c r="F170" s="22">
        <v>4</v>
      </c>
      <c r="G170" s="22">
        <v>0</v>
      </c>
      <c r="H170" s="55">
        <v>0</v>
      </c>
      <c r="I170" s="55">
        <v>0</v>
      </c>
      <c r="J170" s="55">
        <v>0.04</v>
      </c>
      <c r="K170" s="55">
        <v>0.04</v>
      </c>
      <c r="L170" s="55">
        <v>0</v>
      </c>
      <c r="M170" s="55">
        <v>0</v>
      </c>
      <c r="N170" s="55"/>
      <c r="O170" s="55"/>
    </row>
    <row r="171" spans="1:15" hidden="1">
      <c r="A171" s="55">
        <v>130</v>
      </c>
      <c r="B171" s="55" t="s">
        <v>905</v>
      </c>
      <c r="C171" s="55" t="s">
        <v>20</v>
      </c>
      <c r="D171" s="22">
        <v>3</v>
      </c>
      <c r="E171" s="22">
        <v>13</v>
      </c>
      <c r="F171" s="22">
        <v>3</v>
      </c>
      <c r="G171" s="22">
        <v>13</v>
      </c>
      <c r="H171" s="55">
        <v>-76.92</v>
      </c>
      <c r="I171" s="55">
        <v>-76.92</v>
      </c>
      <c r="J171" s="55">
        <v>0.03</v>
      </c>
      <c r="K171" s="55">
        <v>0.03</v>
      </c>
      <c r="L171" s="55">
        <v>0.17</v>
      </c>
      <c r="M171" s="55">
        <v>0.17</v>
      </c>
      <c r="N171" s="55"/>
      <c r="O171" s="55"/>
    </row>
    <row r="172" spans="1:15" hidden="1">
      <c r="A172" s="55">
        <v>131</v>
      </c>
      <c r="B172" s="55" t="s">
        <v>602</v>
      </c>
      <c r="C172" s="55" t="s">
        <v>20</v>
      </c>
      <c r="D172" s="22">
        <v>3</v>
      </c>
      <c r="E172" s="22">
        <v>11</v>
      </c>
      <c r="F172" s="22">
        <v>3</v>
      </c>
      <c r="G172" s="22">
        <v>11</v>
      </c>
      <c r="H172" s="55">
        <v>-72.73</v>
      </c>
      <c r="I172" s="55">
        <v>-72.73</v>
      </c>
      <c r="J172" s="55">
        <v>0.03</v>
      </c>
      <c r="K172" s="55">
        <v>0.03</v>
      </c>
      <c r="L172" s="55">
        <v>0.14000000000000001</v>
      </c>
      <c r="M172" s="55">
        <v>0.14000000000000001</v>
      </c>
      <c r="N172" s="55"/>
      <c r="O172" s="55"/>
    </row>
    <row r="173" spans="1:15" hidden="1">
      <c r="A173" s="55">
        <v>132</v>
      </c>
      <c r="B173" s="55" t="s">
        <v>946</v>
      </c>
      <c r="C173" s="55" t="s">
        <v>20</v>
      </c>
      <c r="D173" s="22">
        <v>3</v>
      </c>
      <c r="E173" s="22">
        <v>10</v>
      </c>
      <c r="F173" s="22">
        <v>3</v>
      </c>
      <c r="G173" s="22">
        <v>10</v>
      </c>
      <c r="H173" s="55">
        <v>-70</v>
      </c>
      <c r="I173" s="55">
        <v>-70</v>
      </c>
      <c r="J173" s="55">
        <v>0.03</v>
      </c>
      <c r="K173" s="55">
        <v>0.03</v>
      </c>
      <c r="L173" s="55">
        <v>0.13</v>
      </c>
      <c r="M173" s="55">
        <v>0.13</v>
      </c>
      <c r="N173" s="55"/>
      <c r="O173" s="55"/>
    </row>
    <row r="174" spans="1:15" hidden="1">
      <c r="A174" s="55">
        <v>133</v>
      </c>
      <c r="B174" s="55" t="s">
        <v>648</v>
      </c>
      <c r="C174" s="55" t="s">
        <v>20</v>
      </c>
      <c r="D174" s="22">
        <v>3</v>
      </c>
      <c r="E174" s="22">
        <v>2</v>
      </c>
      <c r="F174" s="22">
        <v>3</v>
      </c>
      <c r="G174" s="22">
        <v>2</v>
      </c>
      <c r="H174" s="55">
        <v>50</v>
      </c>
      <c r="I174" s="55">
        <v>50</v>
      </c>
      <c r="J174" s="55">
        <v>0.03</v>
      </c>
      <c r="K174" s="55">
        <v>0.03</v>
      </c>
      <c r="L174" s="55">
        <v>0.03</v>
      </c>
      <c r="M174" s="55">
        <v>0.03</v>
      </c>
      <c r="N174" s="55"/>
      <c r="O174" s="55"/>
    </row>
    <row r="175" spans="1:15" hidden="1">
      <c r="A175" s="55">
        <v>134</v>
      </c>
      <c r="B175" s="55" t="s">
        <v>1066</v>
      </c>
      <c r="C175" s="55" t="s">
        <v>20</v>
      </c>
      <c r="D175" s="22">
        <v>3</v>
      </c>
      <c r="E175" s="22">
        <v>0</v>
      </c>
      <c r="F175" s="22">
        <v>3</v>
      </c>
      <c r="G175" s="22">
        <v>0</v>
      </c>
      <c r="H175" s="55">
        <v>0</v>
      </c>
      <c r="I175" s="55">
        <v>0</v>
      </c>
      <c r="J175" s="55">
        <v>0.03</v>
      </c>
      <c r="K175" s="55">
        <v>0.03</v>
      </c>
      <c r="L175" s="55">
        <v>0</v>
      </c>
      <c r="M175" s="55">
        <v>0</v>
      </c>
      <c r="N175" s="55"/>
      <c r="O175" s="55"/>
    </row>
    <row r="176" spans="1:15" hidden="1">
      <c r="A176" s="55">
        <v>135</v>
      </c>
      <c r="B176" s="55" t="s">
        <v>976</v>
      </c>
      <c r="C176" s="55" t="s">
        <v>20</v>
      </c>
      <c r="D176" s="22">
        <v>2</v>
      </c>
      <c r="E176" s="22">
        <v>8</v>
      </c>
      <c r="F176" s="22">
        <v>2</v>
      </c>
      <c r="G176" s="22">
        <v>8</v>
      </c>
      <c r="H176" s="62">
        <v>-75</v>
      </c>
      <c r="I176" s="62">
        <v>-75</v>
      </c>
      <c r="J176" s="55">
        <v>0.02</v>
      </c>
      <c r="K176" s="55">
        <v>0.02</v>
      </c>
      <c r="L176" s="55">
        <v>0.1</v>
      </c>
      <c r="M176" s="55">
        <v>0.1</v>
      </c>
      <c r="N176" s="55"/>
      <c r="O176" s="55"/>
    </row>
    <row r="177" spans="1:15">
      <c r="A177" s="55">
        <v>136</v>
      </c>
      <c r="B177" s="55" t="s">
        <v>542</v>
      </c>
      <c r="C177" s="55" t="s">
        <v>19</v>
      </c>
      <c r="D177" s="22">
        <v>2</v>
      </c>
      <c r="E177" s="22">
        <v>7</v>
      </c>
      <c r="F177" s="22">
        <v>2</v>
      </c>
      <c r="G177" s="22">
        <v>7</v>
      </c>
      <c r="H177" s="55">
        <v>-71.430000000000007</v>
      </c>
      <c r="I177" s="55">
        <v>-71.430000000000007</v>
      </c>
      <c r="J177" s="55">
        <v>0.02</v>
      </c>
      <c r="K177" s="55">
        <v>0.02</v>
      </c>
      <c r="L177" s="55">
        <v>0.09</v>
      </c>
      <c r="M177" s="55">
        <v>0.09</v>
      </c>
      <c r="N177" s="55"/>
      <c r="O177" s="55"/>
    </row>
    <row r="178" spans="1:15" hidden="1">
      <c r="A178" s="55">
        <v>137</v>
      </c>
      <c r="B178" s="55" t="s">
        <v>597</v>
      </c>
      <c r="C178" s="55" t="s">
        <v>20</v>
      </c>
      <c r="D178" s="22">
        <v>2</v>
      </c>
      <c r="E178" s="22">
        <v>6</v>
      </c>
      <c r="F178" s="22">
        <v>2</v>
      </c>
      <c r="G178" s="22">
        <v>6</v>
      </c>
      <c r="H178" s="55">
        <v>-66.67</v>
      </c>
      <c r="I178" s="55">
        <v>-66.67</v>
      </c>
      <c r="J178" s="55">
        <v>0.02</v>
      </c>
      <c r="K178" s="55">
        <v>0.02</v>
      </c>
      <c r="L178" s="55">
        <v>0.08</v>
      </c>
      <c r="M178" s="55">
        <v>0.08</v>
      </c>
      <c r="N178" s="55"/>
      <c r="O178" s="55"/>
    </row>
    <row r="179" spans="1:15" hidden="1">
      <c r="A179" s="55">
        <v>138</v>
      </c>
      <c r="B179" s="55" t="s">
        <v>517</v>
      </c>
      <c r="C179" s="55" t="s">
        <v>20</v>
      </c>
      <c r="D179" s="22">
        <v>2</v>
      </c>
      <c r="E179" s="22">
        <v>6</v>
      </c>
      <c r="F179" s="22">
        <v>2</v>
      </c>
      <c r="G179" s="22">
        <v>6</v>
      </c>
      <c r="H179" s="62">
        <v>-66.67</v>
      </c>
      <c r="I179" s="62">
        <v>-66.67</v>
      </c>
      <c r="J179" s="55">
        <v>0.02</v>
      </c>
      <c r="K179" s="55">
        <v>0.02</v>
      </c>
      <c r="L179" s="55">
        <v>0.08</v>
      </c>
      <c r="M179" s="55">
        <v>0.08</v>
      </c>
      <c r="N179" s="55"/>
      <c r="O179" s="55"/>
    </row>
    <row r="180" spans="1:15">
      <c r="A180" s="55">
        <v>139</v>
      </c>
      <c r="B180" s="55" t="s">
        <v>464</v>
      </c>
      <c r="C180" s="55" t="s">
        <v>19</v>
      </c>
      <c r="D180" s="22">
        <v>2</v>
      </c>
      <c r="E180" s="22">
        <v>3</v>
      </c>
      <c r="F180" s="22">
        <v>2</v>
      </c>
      <c r="G180" s="22">
        <v>3</v>
      </c>
      <c r="H180" s="55">
        <v>-33.33</v>
      </c>
      <c r="I180" s="55">
        <v>-33.33</v>
      </c>
      <c r="J180" s="55">
        <v>0.02</v>
      </c>
      <c r="K180" s="55">
        <v>0.02</v>
      </c>
      <c r="L180" s="55">
        <v>0.04</v>
      </c>
      <c r="M180" s="55">
        <v>0.04</v>
      </c>
      <c r="N180" s="55"/>
      <c r="O180" s="55"/>
    </row>
    <row r="181" spans="1:15">
      <c r="A181" s="55">
        <v>140</v>
      </c>
      <c r="B181" s="55" t="s">
        <v>163</v>
      </c>
      <c r="C181" s="55" t="s">
        <v>19</v>
      </c>
      <c r="D181" s="22">
        <v>2</v>
      </c>
      <c r="E181" s="22">
        <v>3</v>
      </c>
      <c r="F181" s="22">
        <v>2</v>
      </c>
      <c r="G181" s="22">
        <v>3</v>
      </c>
      <c r="H181" s="55">
        <v>-33.33</v>
      </c>
      <c r="I181" s="55">
        <v>-33.33</v>
      </c>
      <c r="J181" s="55">
        <v>0.02</v>
      </c>
      <c r="K181" s="55">
        <v>0.02</v>
      </c>
      <c r="L181" s="55">
        <v>0.04</v>
      </c>
      <c r="M181" s="55">
        <v>0.04</v>
      </c>
      <c r="N181" s="55"/>
      <c r="O181" s="55"/>
    </row>
    <row r="182" spans="1:15" hidden="1">
      <c r="A182" s="55">
        <v>141</v>
      </c>
      <c r="B182" s="55" t="s">
        <v>454</v>
      </c>
      <c r="C182" s="55" t="s">
        <v>222</v>
      </c>
      <c r="D182" s="22">
        <v>2</v>
      </c>
      <c r="E182" s="22">
        <v>1</v>
      </c>
      <c r="F182" s="22">
        <v>2</v>
      </c>
      <c r="G182" s="22">
        <v>1</v>
      </c>
      <c r="H182" s="55">
        <v>100</v>
      </c>
      <c r="I182" s="55">
        <v>100</v>
      </c>
      <c r="J182" s="55">
        <v>0.02</v>
      </c>
      <c r="K182" s="55">
        <v>0.02</v>
      </c>
      <c r="L182" s="55">
        <v>0.01</v>
      </c>
      <c r="M182" s="55">
        <v>0.01</v>
      </c>
      <c r="N182" s="55"/>
      <c r="O182" s="55"/>
    </row>
    <row r="183" spans="1:15">
      <c r="A183" s="55">
        <v>142</v>
      </c>
      <c r="B183" s="55" t="s">
        <v>162</v>
      </c>
      <c r="C183" s="55" t="s">
        <v>19</v>
      </c>
      <c r="D183" s="22">
        <v>2</v>
      </c>
      <c r="E183" s="22">
        <v>0</v>
      </c>
      <c r="F183" s="22">
        <v>2</v>
      </c>
      <c r="G183" s="22">
        <v>0</v>
      </c>
      <c r="H183" s="55">
        <v>0</v>
      </c>
      <c r="I183" s="55">
        <v>0</v>
      </c>
      <c r="J183" s="55">
        <v>0.02</v>
      </c>
      <c r="K183" s="55">
        <v>0.02</v>
      </c>
      <c r="L183" s="55">
        <v>0</v>
      </c>
      <c r="M183" s="55">
        <v>0</v>
      </c>
      <c r="N183" s="55"/>
      <c r="O183" s="55"/>
    </row>
    <row r="184" spans="1:15" hidden="1">
      <c r="A184" s="55">
        <v>143</v>
      </c>
      <c r="B184" s="55" t="s">
        <v>1088</v>
      </c>
      <c r="C184" s="55" t="s">
        <v>20</v>
      </c>
      <c r="D184" s="22">
        <v>2</v>
      </c>
      <c r="E184" s="22">
        <v>0</v>
      </c>
      <c r="F184" s="22">
        <v>2</v>
      </c>
      <c r="G184" s="22">
        <v>0</v>
      </c>
      <c r="H184" s="55">
        <v>0</v>
      </c>
      <c r="I184" s="55">
        <v>0</v>
      </c>
      <c r="J184" s="55">
        <v>0.02</v>
      </c>
      <c r="K184" s="55">
        <v>0.02</v>
      </c>
      <c r="L184" s="55">
        <v>0</v>
      </c>
      <c r="M184" s="55">
        <v>0</v>
      </c>
      <c r="N184" s="55"/>
      <c r="O184" s="55"/>
    </row>
    <row r="185" spans="1:15">
      <c r="A185" s="55">
        <v>144</v>
      </c>
      <c r="B185" s="55" t="s">
        <v>994</v>
      </c>
      <c r="C185" s="55" t="s">
        <v>19</v>
      </c>
      <c r="D185" s="22">
        <v>2</v>
      </c>
      <c r="E185" s="22">
        <v>0</v>
      </c>
      <c r="F185" s="22">
        <v>2</v>
      </c>
      <c r="G185" s="22">
        <v>0</v>
      </c>
      <c r="H185" s="55">
        <v>0</v>
      </c>
      <c r="I185" s="55">
        <v>0</v>
      </c>
      <c r="J185" s="55">
        <v>0.02</v>
      </c>
      <c r="K185" s="55">
        <v>0.02</v>
      </c>
      <c r="L185" s="55">
        <v>0</v>
      </c>
      <c r="M185" s="55">
        <v>0</v>
      </c>
      <c r="N185" s="55"/>
      <c r="O185" s="55"/>
    </row>
    <row r="186" spans="1:15">
      <c r="A186" s="55">
        <v>145</v>
      </c>
      <c r="B186" s="55" t="s">
        <v>178</v>
      </c>
      <c r="C186" s="55" t="s">
        <v>19</v>
      </c>
      <c r="D186" s="22">
        <v>2</v>
      </c>
      <c r="E186" s="22">
        <v>0</v>
      </c>
      <c r="F186" s="22">
        <v>2</v>
      </c>
      <c r="G186" s="22">
        <v>0</v>
      </c>
      <c r="H186" s="55">
        <v>0</v>
      </c>
      <c r="I186" s="55">
        <v>0</v>
      </c>
      <c r="J186" s="55">
        <v>0.02</v>
      </c>
      <c r="K186" s="55">
        <v>0.02</v>
      </c>
      <c r="L186" s="55">
        <v>0</v>
      </c>
      <c r="M186" s="55">
        <v>0</v>
      </c>
      <c r="N186" s="55"/>
      <c r="O186" s="55"/>
    </row>
    <row r="187" spans="1:15" hidden="1">
      <c r="A187" s="55">
        <v>146</v>
      </c>
      <c r="B187" s="55" t="s">
        <v>386</v>
      </c>
      <c r="C187" s="55" t="s">
        <v>20</v>
      </c>
      <c r="D187" s="22">
        <v>1</v>
      </c>
      <c r="E187" s="22">
        <v>79</v>
      </c>
      <c r="F187" s="22">
        <v>1</v>
      </c>
      <c r="G187" s="22">
        <v>79</v>
      </c>
      <c r="H187" s="55">
        <v>-98.73</v>
      </c>
      <c r="I187" s="55">
        <v>-98.73</v>
      </c>
      <c r="J187" s="55">
        <v>0.01</v>
      </c>
      <c r="K187" s="55">
        <v>0.01</v>
      </c>
      <c r="L187" s="55">
        <v>1.04</v>
      </c>
      <c r="M187" s="55">
        <v>1.04</v>
      </c>
      <c r="N187" s="55"/>
      <c r="O187" s="55"/>
    </row>
    <row r="188" spans="1:15">
      <c r="A188" s="55">
        <v>147</v>
      </c>
      <c r="B188" s="55" t="s">
        <v>911</v>
      </c>
      <c r="C188" s="55" t="s">
        <v>19</v>
      </c>
      <c r="D188" s="22">
        <v>1</v>
      </c>
      <c r="E188" s="22">
        <v>20</v>
      </c>
      <c r="F188" s="22">
        <v>1</v>
      </c>
      <c r="G188" s="22">
        <v>20</v>
      </c>
      <c r="H188" s="55">
        <v>-95</v>
      </c>
      <c r="I188" s="55">
        <v>-95</v>
      </c>
      <c r="J188" s="55">
        <v>0.01</v>
      </c>
      <c r="K188" s="55">
        <v>0.01</v>
      </c>
      <c r="L188" s="55">
        <v>0.26</v>
      </c>
      <c r="M188" s="55">
        <v>0.26</v>
      </c>
      <c r="N188" s="55"/>
      <c r="O188" s="55"/>
    </row>
    <row r="189" spans="1:15">
      <c r="A189" s="55">
        <v>148</v>
      </c>
      <c r="B189" s="55" t="s">
        <v>332</v>
      </c>
      <c r="C189" s="55" t="s">
        <v>19</v>
      </c>
      <c r="D189" s="22">
        <v>1</v>
      </c>
      <c r="E189" s="22">
        <v>20</v>
      </c>
      <c r="F189" s="22">
        <v>1</v>
      </c>
      <c r="G189" s="22">
        <v>20</v>
      </c>
      <c r="H189" s="55">
        <v>-95</v>
      </c>
      <c r="I189" s="55">
        <v>-95</v>
      </c>
      <c r="J189" s="55">
        <v>0.01</v>
      </c>
      <c r="K189" s="55">
        <v>0.01</v>
      </c>
      <c r="L189" s="55">
        <v>0.26</v>
      </c>
      <c r="M189" s="55">
        <v>0.26</v>
      </c>
      <c r="N189" s="55"/>
      <c r="O189" s="55"/>
    </row>
    <row r="190" spans="1:15" hidden="1">
      <c r="A190" s="55">
        <v>149</v>
      </c>
      <c r="B190" s="55" t="s">
        <v>374</v>
      </c>
      <c r="C190" s="55" t="s">
        <v>20</v>
      </c>
      <c r="D190" s="22">
        <v>1</v>
      </c>
      <c r="E190" s="22">
        <v>12</v>
      </c>
      <c r="F190" s="22">
        <v>1</v>
      </c>
      <c r="G190" s="22">
        <v>12</v>
      </c>
      <c r="H190" s="55">
        <v>-91.67</v>
      </c>
      <c r="I190" s="55">
        <v>-91.67</v>
      </c>
      <c r="J190" s="55">
        <v>0.01</v>
      </c>
      <c r="K190" s="55">
        <v>0.01</v>
      </c>
      <c r="L190" s="55">
        <v>0.16</v>
      </c>
      <c r="M190" s="55">
        <v>0.16</v>
      </c>
      <c r="N190" s="55"/>
      <c r="O190" s="55"/>
    </row>
    <row r="191" spans="1:15">
      <c r="A191" s="55">
        <v>150</v>
      </c>
      <c r="B191" s="55" t="s">
        <v>388</v>
      </c>
      <c r="C191" s="55" t="s">
        <v>19</v>
      </c>
      <c r="D191" s="22">
        <v>1</v>
      </c>
      <c r="E191" s="22">
        <v>8</v>
      </c>
      <c r="F191" s="22">
        <v>1</v>
      </c>
      <c r="G191" s="22">
        <v>8</v>
      </c>
      <c r="H191" s="55">
        <v>-87.5</v>
      </c>
      <c r="I191" s="55">
        <v>-87.5</v>
      </c>
      <c r="J191" s="55">
        <v>0.01</v>
      </c>
      <c r="K191" s="55">
        <v>0.01</v>
      </c>
      <c r="L191" s="55">
        <v>0.1</v>
      </c>
      <c r="M191" s="55">
        <v>0.1</v>
      </c>
      <c r="N191" s="55"/>
      <c r="O191" s="55"/>
    </row>
    <row r="192" spans="1:15" hidden="1">
      <c r="A192" s="55">
        <v>151</v>
      </c>
      <c r="B192" s="55" t="s">
        <v>364</v>
      </c>
      <c r="C192" s="55" t="s">
        <v>20</v>
      </c>
      <c r="D192" s="22">
        <v>1</v>
      </c>
      <c r="E192" s="22">
        <v>2</v>
      </c>
      <c r="F192" s="22">
        <v>1</v>
      </c>
      <c r="G192" s="22">
        <v>2</v>
      </c>
      <c r="H192" s="55">
        <v>-50</v>
      </c>
      <c r="I192" s="55">
        <v>-50</v>
      </c>
      <c r="J192" s="55">
        <v>0.01</v>
      </c>
      <c r="K192" s="55">
        <v>0.01</v>
      </c>
      <c r="L192" s="55">
        <v>0.03</v>
      </c>
      <c r="M192" s="55">
        <v>0.03</v>
      </c>
      <c r="N192" s="55"/>
      <c r="O192" s="55"/>
    </row>
    <row r="193" spans="1:15">
      <c r="A193" s="55">
        <v>152</v>
      </c>
      <c r="B193" s="55" t="s">
        <v>134</v>
      </c>
      <c r="C193" s="55" t="s">
        <v>19</v>
      </c>
      <c r="D193" s="22">
        <v>1</v>
      </c>
      <c r="E193" s="22">
        <v>2</v>
      </c>
      <c r="F193" s="22">
        <v>1</v>
      </c>
      <c r="G193" s="22">
        <v>2</v>
      </c>
      <c r="H193" s="55">
        <v>-50</v>
      </c>
      <c r="I193" s="55">
        <v>-50</v>
      </c>
      <c r="J193" s="55">
        <v>0.01</v>
      </c>
      <c r="K193" s="55">
        <v>0.01</v>
      </c>
      <c r="L193" s="55">
        <v>0.03</v>
      </c>
      <c r="M193" s="55">
        <v>0.03</v>
      </c>
      <c r="N193" s="55"/>
      <c r="O193" s="55"/>
    </row>
    <row r="194" spans="1:15" hidden="1">
      <c r="A194" s="55">
        <v>153</v>
      </c>
      <c r="B194" s="55" t="s">
        <v>561</v>
      </c>
      <c r="C194" s="55" t="s">
        <v>20</v>
      </c>
      <c r="D194" s="22">
        <v>1</v>
      </c>
      <c r="E194" s="22">
        <v>0</v>
      </c>
      <c r="F194" s="22">
        <v>1</v>
      </c>
      <c r="G194" s="22">
        <v>0</v>
      </c>
      <c r="H194" s="55">
        <v>0</v>
      </c>
      <c r="I194" s="55">
        <v>0</v>
      </c>
      <c r="J194" s="55">
        <v>0.01</v>
      </c>
      <c r="K194" s="55">
        <v>0.01</v>
      </c>
      <c r="L194" s="55">
        <v>0</v>
      </c>
      <c r="M194" s="55">
        <v>0</v>
      </c>
      <c r="N194" s="55"/>
      <c r="O194" s="55"/>
    </row>
    <row r="195" spans="1:15" hidden="1">
      <c r="A195" s="55">
        <v>154</v>
      </c>
      <c r="B195" s="55" t="s">
        <v>993</v>
      </c>
      <c r="C195" s="55" t="s">
        <v>20</v>
      </c>
      <c r="D195" s="22">
        <v>1</v>
      </c>
      <c r="E195" s="22">
        <v>0</v>
      </c>
      <c r="F195" s="22">
        <v>1</v>
      </c>
      <c r="G195" s="22">
        <v>0</v>
      </c>
      <c r="H195" s="62">
        <v>0</v>
      </c>
      <c r="I195" s="62">
        <v>0</v>
      </c>
      <c r="J195" s="62">
        <v>0.01</v>
      </c>
      <c r="K195" s="62">
        <v>0.01</v>
      </c>
      <c r="L195" s="62">
        <v>0</v>
      </c>
      <c r="M195" s="62">
        <v>0</v>
      </c>
      <c r="N195" s="55"/>
      <c r="O195" s="55"/>
    </row>
    <row r="196" spans="1:15" hidden="1">
      <c r="A196" s="55">
        <v>155</v>
      </c>
      <c r="B196" s="55" t="s">
        <v>1012</v>
      </c>
      <c r="C196" s="55" t="s">
        <v>20</v>
      </c>
      <c r="D196" s="22">
        <v>1</v>
      </c>
      <c r="E196" s="22">
        <v>0</v>
      </c>
      <c r="F196" s="22">
        <v>1</v>
      </c>
      <c r="G196" s="22">
        <v>0</v>
      </c>
      <c r="H196" s="55">
        <v>0</v>
      </c>
      <c r="I196" s="55">
        <v>0</v>
      </c>
      <c r="J196" s="55">
        <v>0.01</v>
      </c>
      <c r="K196" s="55">
        <v>0.01</v>
      </c>
      <c r="L196" s="55">
        <v>0</v>
      </c>
      <c r="M196" s="55">
        <v>0</v>
      </c>
      <c r="N196" s="55"/>
      <c r="O196" s="55"/>
    </row>
    <row r="197" spans="1:15" hidden="1">
      <c r="A197" s="55">
        <v>156</v>
      </c>
      <c r="B197" s="55" t="s">
        <v>1090</v>
      </c>
      <c r="C197" s="55" t="s">
        <v>20</v>
      </c>
      <c r="D197" s="22">
        <v>1</v>
      </c>
      <c r="E197" s="22">
        <v>0</v>
      </c>
      <c r="F197" s="22">
        <v>1</v>
      </c>
      <c r="G197" s="22">
        <v>0</v>
      </c>
      <c r="H197" s="55">
        <v>0</v>
      </c>
      <c r="I197" s="55">
        <v>0</v>
      </c>
      <c r="J197" s="55">
        <v>0.01</v>
      </c>
      <c r="K197" s="55">
        <v>0.01</v>
      </c>
      <c r="L197" s="55">
        <v>0</v>
      </c>
      <c r="M197" s="55">
        <v>0</v>
      </c>
      <c r="N197" s="55"/>
      <c r="O197" s="55"/>
    </row>
    <row r="198" spans="1:15" hidden="1">
      <c r="A198" s="55">
        <v>157</v>
      </c>
      <c r="B198" s="55" t="s">
        <v>1072</v>
      </c>
      <c r="C198" s="55" t="s">
        <v>20</v>
      </c>
      <c r="D198" s="22">
        <v>1</v>
      </c>
      <c r="E198" s="22">
        <v>0</v>
      </c>
      <c r="F198" s="22">
        <v>1</v>
      </c>
      <c r="G198" s="22">
        <v>0</v>
      </c>
      <c r="H198" s="55">
        <v>0</v>
      </c>
      <c r="I198" s="55">
        <v>0</v>
      </c>
      <c r="J198" s="55">
        <v>0.01</v>
      </c>
      <c r="K198" s="55">
        <v>0.01</v>
      </c>
      <c r="L198" s="55">
        <v>0</v>
      </c>
      <c r="M198" s="55">
        <v>0</v>
      </c>
      <c r="N198" s="55"/>
      <c r="O198" s="55"/>
    </row>
    <row r="199" spans="1:15">
      <c r="A199" s="55">
        <v>158</v>
      </c>
      <c r="B199" s="55" t="s">
        <v>1023</v>
      </c>
      <c r="C199" s="55" t="s">
        <v>19</v>
      </c>
      <c r="D199" s="22">
        <v>1</v>
      </c>
      <c r="E199" s="22">
        <v>0</v>
      </c>
      <c r="F199" s="22">
        <v>1</v>
      </c>
      <c r="G199" s="22">
        <v>0</v>
      </c>
      <c r="H199" s="55">
        <v>0</v>
      </c>
      <c r="I199" s="55">
        <v>0</v>
      </c>
      <c r="J199" s="55">
        <v>0.01</v>
      </c>
      <c r="K199" s="55">
        <v>0.01</v>
      </c>
      <c r="L199" s="55">
        <v>0</v>
      </c>
      <c r="M199" s="55">
        <v>0</v>
      </c>
      <c r="N199" s="55"/>
      <c r="O199" s="55"/>
    </row>
    <row r="200" spans="1:15">
      <c r="A200" s="55">
        <v>159</v>
      </c>
      <c r="B200" s="55" t="s">
        <v>975</v>
      </c>
      <c r="C200" s="55" t="s">
        <v>19</v>
      </c>
      <c r="D200" s="22">
        <v>1</v>
      </c>
      <c r="E200" s="22">
        <v>0</v>
      </c>
      <c r="F200" s="22">
        <v>1</v>
      </c>
      <c r="G200" s="22">
        <v>0</v>
      </c>
      <c r="H200" s="55">
        <v>0</v>
      </c>
      <c r="I200" s="55">
        <v>0</v>
      </c>
      <c r="J200" s="55">
        <v>0.01</v>
      </c>
      <c r="K200" s="55">
        <v>0.01</v>
      </c>
      <c r="L200" s="55">
        <v>0</v>
      </c>
      <c r="M200" s="55">
        <v>0</v>
      </c>
      <c r="N200" s="55"/>
      <c r="O200" s="55"/>
    </row>
    <row r="201" spans="1:15">
      <c r="A201" s="55">
        <v>160</v>
      </c>
      <c r="B201" s="55" t="s">
        <v>1024</v>
      </c>
      <c r="C201" s="55" t="s">
        <v>19</v>
      </c>
      <c r="D201" s="22">
        <v>1</v>
      </c>
      <c r="E201" s="22">
        <v>0</v>
      </c>
      <c r="F201" s="22">
        <v>1</v>
      </c>
      <c r="G201" s="22">
        <v>0</v>
      </c>
      <c r="H201" s="55">
        <v>0</v>
      </c>
      <c r="I201" s="55">
        <v>0</v>
      </c>
      <c r="J201" s="55">
        <v>0.01</v>
      </c>
      <c r="K201" s="55">
        <v>0.01</v>
      </c>
      <c r="L201" s="55">
        <v>0</v>
      </c>
      <c r="M201" s="55">
        <v>0</v>
      </c>
      <c r="N201" s="55"/>
      <c r="O201" s="55"/>
    </row>
    <row r="202" spans="1:15">
      <c r="A202" s="55">
        <v>161</v>
      </c>
      <c r="B202" s="55" t="s">
        <v>333</v>
      </c>
      <c r="C202" s="55" t="s">
        <v>19</v>
      </c>
      <c r="D202" s="22">
        <v>1</v>
      </c>
      <c r="E202" s="22">
        <v>0</v>
      </c>
      <c r="F202" s="22">
        <v>1</v>
      </c>
      <c r="G202" s="22">
        <v>0</v>
      </c>
      <c r="H202" s="55">
        <v>0</v>
      </c>
      <c r="I202" s="55">
        <v>0</v>
      </c>
      <c r="J202" s="55">
        <v>0.01</v>
      </c>
      <c r="K202" s="55">
        <v>0.01</v>
      </c>
      <c r="L202" s="55">
        <v>0</v>
      </c>
      <c r="M202" s="55">
        <v>0</v>
      </c>
      <c r="N202" s="55"/>
      <c r="O202" s="55"/>
    </row>
    <row r="203" spans="1:15">
      <c r="A203" s="55">
        <v>162</v>
      </c>
      <c r="B203" s="55" t="s">
        <v>1116</v>
      </c>
      <c r="C203" s="55" t="s">
        <v>19</v>
      </c>
      <c r="D203" s="22">
        <v>1</v>
      </c>
      <c r="E203" s="22">
        <v>0</v>
      </c>
      <c r="F203" s="22">
        <v>1</v>
      </c>
      <c r="G203" s="22">
        <v>0</v>
      </c>
      <c r="H203" s="55">
        <v>0</v>
      </c>
      <c r="I203" s="55">
        <v>0</v>
      </c>
      <c r="J203" s="55">
        <v>0.01</v>
      </c>
      <c r="K203" s="55">
        <v>0.01</v>
      </c>
      <c r="L203" s="55">
        <v>0</v>
      </c>
      <c r="M203" s="55">
        <v>0</v>
      </c>
      <c r="N203" s="55"/>
      <c r="O203" s="55"/>
    </row>
    <row r="204" spans="1:15">
      <c r="A204" s="55">
        <v>163</v>
      </c>
      <c r="B204" s="55" t="s">
        <v>371</v>
      </c>
      <c r="C204" s="55" t="s">
        <v>19</v>
      </c>
      <c r="D204" s="22">
        <v>0</v>
      </c>
      <c r="E204" s="22">
        <v>138</v>
      </c>
      <c r="F204" s="22">
        <v>0</v>
      </c>
      <c r="G204" s="22">
        <v>138</v>
      </c>
      <c r="H204" s="55">
        <v>-100</v>
      </c>
      <c r="I204" s="55">
        <v>-100</v>
      </c>
      <c r="J204" s="55">
        <v>0</v>
      </c>
      <c r="K204" s="55">
        <v>0</v>
      </c>
      <c r="L204" s="55">
        <v>1.81</v>
      </c>
      <c r="M204" s="55">
        <v>1.81</v>
      </c>
      <c r="N204" s="55"/>
      <c r="O204" s="55"/>
    </row>
    <row r="205" spans="1:15">
      <c r="A205" s="134">
        <v>164</v>
      </c>
      <c r="B205" s="134" t="s">
        <v>338</v>
      </c>
      <c r="C205" s="134" t="s">
        <v>19</v>
      </c>
      <c r="D205" s="141">
        <v>0</v>
      </c>
      <c r="E205" s="141">
        <v>68</v>
      </c>
      <c r="F205" s="141">
        <v>0</v>
      </c>
      <c r="G205" s="141">
        <v>68</v>
      </c>
      <c r="H205" s="134">
        <v>-100</v>
      </c>
      <c r="I205" s="134">
        <v>-100</v>
      </c>
      <c r="J205" s="134">
        <v>0</v>
      </c>
      <c r="K205" s="134">
        <v>0</v>
      </c>
      <c r="L205" s="134">
        <v>0.89</v>
      </c>
      <c r="M205" s="134">
        <v>0.89</v>
      </c>
      <c r="N205" s="55"/>
      <c r="O205" s="55"/>
    </row>
    <row r="206" spans="1:15">
      <c r="A206" s="134">
        <v>165</v>
      </c>
      <c r="B206" s="134" t="s">
        <v>373</v>
      </c>
      <c r="C206" s="134" t="s">
        <v>19</v>
      </c>
      <c r="D206" s="141">
        <v>0</v>
      </c>
      <c r="E206" s="141">
        <v>29</v>
      </c>
      <c r="F206" s="141">
        <v>0</v>
      </c>
      <c r="G206" s="141">
        <v>29</v>
      </c>
      <c r="H206" s="134">
        <v>-100</v>
      </c>
      <c r="I206" s="134">
        <v>-100</v>
      </c>
      <c r="J206" s="134">
        <v>0</v>
      </c>
      <c r="K206" s="134">
        <v>0</v>
      </c>
      <c r="L206" s="134">
        <v>0.38</v>
      </c>
      <c r="M206" s="134">
        <v>0.38</v>
      </c>
      <c r="N206" s="55"/>
      <c r="O206" s="55"/>
    </row>
    <row r="207" spans="1:15" hidden="1">
      <c r="A207" s="134">
        <v>166</v>
      </c>
      <c r="B207" s="134" t="s">
        <v>79</v>
      </c>
      <c r="C207" s="134" t="s">
        <v>20</v>
      </c>
      <c r="D207" s="141">
        <v>0</v>
      </c>
      <c r="E207" s="141">
        <v>24</v>
      </c>
      <c r="F207" s="141">
        <v>0</v>
      </c>
      <c r="G207" s="141">
        <v>24</v>
      </c>
      <c r="H207" s="134">
        <v>-100</v>
      </c>
      <c r="I207" s="134">
        <v>-100</v>
      </c>
      <c r="J207" s="134">
        <v>0</v>
      </c>
      <c r="K207" s="134">
        <v>0</v>
      </c>
      <c r="L207" s="134">
        <v>0.31</v>
      </c>
      <c r="M207" s="134">
        <v>0.31</v>
      </c>
      <c r="N207" s="55"/>
      <c r="O207" s="55"/>
    </row>
    <row r="208" spans="1:15" hidden="1">
      <c r="A208" s="134">
        <v>167</v>
      </c>
      <c r="B208" s="134" t="s">
        <v>529</v>
      </c>
      <c r="C208" s="134" t="s">
        <v>20</v>
      </c>
      <c r="D208" s="141">
        <v>0</v>
      </c>
      <c r="E208" s="141">
        <v>18</v>
      </c>
      <c r="F208" s="141">
        <v>0</v>
      </c>
      <c r="G208" s="141">
        <v>18</v>
      </c>
      <c r="H208" s="134">
        <v>-100</v>
      </c>
      <c r="I208" s="134">
        <v>-100</v>
      </c>
      <c r="J208" s="134">
        <v>0</v>
      </c>
      <c r="K208" s="134">
        <v>0</v>
      </c>
      <c r="L208" s="134">
        <v>0.24</v>
      </c>
      <c r="M208" s="134">
        <v>0.24</v>
      </c>
      <c r="N208" s="55"/>
      <c r="O208" s="55"/>
    </row>
    <row r="209" spans="1:15">
      <c r="A209" s="134">
        <v>168</v>
      </c>
      <c r="B209" s="134" t="s">
        <v>340</v>
      </c>
      <c r="C209" s="134" t="s">
        <v>19</v>
      </c>
      <c r="D209" s="141">
        <v>0</v>
      </c>
      <c r="E209" s="141">
        <v>17</v>
      </c>
      <c r="F209" s="141">
        <v>0</v>
      </c>
      <c r="G209" s="141">
        <v>17</v>
      </c>
      <c r="H209" s="134">
        <v>-100</v>
      </c>
      <c r="I209" s="134">
        <v>-100</v>
      </c>
      <c r="J209" s="134">
        <v>0</v>
      </c>
      <c r="K209" s="134">
        <v>0</v>
      </c>
      <c r="L209" s="134">
        <v>0.22</v>
      </c>
      <c r="M209" s="134">
        <v>0.22</v>
      </c>
      <c r="N209" s="55"/>
      <c r="O209" s="55"/>
    </row>
    <row r="210" spans="1:15" hidden="1">
      <c r="A210" s="134">
        <v>169</v>
      </c>
      <c r="B210" s="134" t="s">
        <v>585</v>
      </c>
      <c r="C210" s="134" t="s">
        <v>20</v>
      </c>
      <c r="D210" s="141">
        <v>0</v>
      </c>
      <c r="E210" s="141">
        <v>12</v>
      </c>
      <c r="F210" s="141">
        <v>0</v>
      </c>
      <c r="G210" s="141">
        <v>12</v>
      </c>
      <c r="H210" s="134">
        <v>-100</v>
      </c>
      <c r="I210" s="134">
        <v>-100</v>
      </c>
      <c r="J210" s="134">
        <v>0</v>
      </c>
      <c r="K210" s="134">
        <v>0</v>
      </c>
      <c r="L210" s="134">
        <v>0.16</v>
      </c>
      <c r="M210" s="134">
        <v>0.16</v>
      </c>
      <c r="N210" s="55"/>
      <c r="O210" s="55"/>
    </row>
    <row r="211" spans="1:15">
      <c r="A211" s="134">
        <v>170</v>
      </c>
      <c r="B211" s="134" t="s">
        <v>70</v>
      </c>
      <c r="C211" s="134" t="s">
        <v>19</v>
      </c>
      <c r="D211" s="141">
        <v>0</v>
      </c>
      <c r="E211" s="141">
        <v>10</v>
      </c>
      <c r="F211" s="141">
        <v>0</v>
      </c>
      <c r="G211" s="141">
        <v>10</v>
      </c>
      <c r="H211" s="134">
        <v>-100</v>
      </c>
      <c r="I211" s="134">
        <v>-100</v>
      </c>
      <c r="J211" s="134">
        <v>0</v>
      </c>
      <c r="K211" s="134">
        <v>0</v>
      </c>
      <c r="L211" s="134">
        <v>0.13</v>
      </c>
      <c r="M211" s="134">
        <v>0.13</v>
      </c>
      <c r="N211" s="55"/>
      <c r="O211" s="55"/>
    </row>
    <row r="212" spans="1:15" hidden="1">
      <c r="A212" s="134">
        <v>171</v>
      </c>
      <c r="B212" s="134" t="s">
        <v>462</v>
      </c>
      <c r="C212" s="134" t="s">
        <v>20</v>
      </c>
      <c r="D212" s="141">
        <v>0</v>
      </c>
      <c r="E212" s="141">
        <v>9</v>
      </c>
      <c r="F212" s="141">
        <v>0</v>
      </c>
      <c r="G212" s="141">
        <v>9</v>
      </c>
      <c r="H212" s="134">
        <v>-100</v>
      </c>
      <c r="I212" s="134">
        <v>-100</v>
      </c>
      <c r="J212" s="134">
        <v>0</v>
      </c>
      <c r="K212" s="134">
        <v>0</v>
      </c>
      <c r="L212" s="134">
        <v>0.12</v>
      </c>
      <c r="M212" s="134">
        <v>0.12</v>
      </c>
      <c r="N212" s="55"/>
      <c r="O212" s="55"/>
    </row>
    <row r="213" spans="1:15">
      <c r="A213" s="134">
        <v>172</v>
      </c>
      <c r="B213" s="134" t="s">
        <v>401</v>
      </c>
      <c r="C213" s="134" t="s">
        <v>19</v>
      </c>
      <c r="D213" s="141">
        <v>0</v>
      </c>
      <c r="E213" s="141">
        <v>8</v>
      </c>
      <c r="F213" s="141">
        <v>0</v>
      </c>
      <c r="G213" s="141">
        <v>8</v>
      </c>
      <c r="H213" s="134">
        <v>-100</v>
      </c>
      <c r="I213" s="134">
        <v>-100</v>
      </c>
      <c r="J213" s="134">
        <v>0</v>
      </c>
      <c r="K213" s="134">
        <v>0</v>
      </c>
      <c r="L213" s="134">
        <v>0.1</v>
      </c>
      <c r="M213" s="134">
        <v>0.1</v>
      </c>
      <c r="N213" s="55"/>
      <c r="O213" s="55"/>
    </row>
    <row r="214" spans="1:15">
      <c r="A214" s="134">
        <v>173</v>
      </c>
      <c r="B214" s="134" t="s">
        <v>515</v>
      </c>
      <c r="C214" s="134" t="s">
        <v>19</v>
      </c>
      <c r="D214" s="141">
        <v>0</v>
      </c>
      <c r="E214" s="141">
        <v>7</v>
      </c>
      <c r="F214" s="141">
        <v>0</v>
      </c>
      <c r="G214" s="141">
        <v>7</v>
      </c>
      <c r="H214" s="136">
        <v>-100</v>
      </c>
      <c r="I214" s="136">
        <v>-100</v>
      </c>
      <c r="J214" s="136">
        <v>0</v>
      </c>
      <c r="K214" s="136">
        <v>0</v>
      </c>
      <c r="L214" s="136">
        <v>0.09</v>
      </c>
      <c r="M214" s="136">
        <v>0.09</v>
      </c>
      <c r="N214" s="55"/>
      <c r="O214" s="55"/>
    </row>
    <row r="215" spans="1:15" hidden="1">
      <c r="A215" s="134">
        <v>174</v>
      </c>
      <c r="B215" s="134" t="s">
        <v>465</v>
      </c>
      <c r="C215" s="134" t="s">
        <v>20</v>
      </c>
      <c r="D215" s="141">
        <v>0</v>
      </c>
      <c r="E215" s="141">
        <v>6</v>
      </c>
      <c r="F215" s="141">
        <v>0</v>
      </c>
      <c r="G215" s="141">
        <v>6</v>
      </c>
      <c r="H215" s="134">
        <v>-100</v>
      </c>
      <c r="I215" s="134">
        <v>-100</v>
      </c>
      <c r="J215" s="134">
        <v>0</v>
      </c>
      <c r="K215" s="134">
        <v>0</v>
      </c>
      <c r="L215" s="134">
        <v>0.08</v>
      </c>
      <c r="M215" s="134">
        <v>0.08</v>
      </c>
      <c r="N215" s="55"/>
      <c r="O215" s="55"/>
    </row>
    <row r="216" spans="1:15">
      <c r="A216" s="134">
        <v>175</v>
      </c>
      <c r="B216" s="134" t="s">
        <v>591</v>
      </c>
      <c r="C216" s="134" t="s">
        <v>19</v>
      </c>
      <c r="D216" s="141">
        <v>0</v>
      </c>
      <c r="E216" s="141">
        <v>6</v>
      </c>
      <c r="F216" s="141">
        <v>0</v>
      </c>
      <c r="G216" s="141">
        <v>6</v>
      </c>
      <c r="H216" s="134">
        <v>-100</v>
      </c>
      <c r="I216" s="134">
        <v>-100</v>
      </c>
      <c r="J216" s="134">
        <v>0</v>
      </c>
      <c r="K216" s="134">
        <v>0</v>
      </c>
      <c r="L216" s="134">
        <v>0.08</v>
      </c>
      <c r="M216" s="134">
        <v>0.08</v>
      </c>
      <c r="N216" s="55"/>
      <c r="O216" s="55"/>
    </row>
    <row r="217" spans="1:15" hidden="1">
      <c r="A217" s="134">
        <v>176</v>
      </c>
      <c r="B217" s="134" t="s">
        <v>375</v>
      </c>
      <c r="C217" s="134" t="s">
        <v>20</v>
      </c>
      <c r="D217" s="141">
        <v>0</v>
      </c>
      <c r="E217" s="141">
        <v>4</v>
      </c>
      <c r="F217" s="141">
        <v>0</v>
      </c>
      <c r="G217" s="141">
        <v>4</v>
      </c>
      <c r="H217" s="134">
        <v>-100</v>
      </c>
      <c r="I217" s="134">
        <v>-100</v>
      </c>
      <c r="J217" s="134">
        <v>0</v>
      </c>
      <c r="K217" s="134">
        <v>0</v>
      </c>
      <c r="L217" s="134">
        <v>0.05</v>
      </c>
      <c r="M217" s="134">
        <v>0.05</v>
      </c>
      <c r="N217" s="55"/>
      <c r="O217" s="55"/>
    </row>
    <row r="218" spans="1:15">
      <c r="A218" s="134">
        <v>177</v>
      </c>
      <c r="B218" s="134" t="s">
        <v>644</v>
      </c>
      <c r="C218" s="134" t="s">
        <v>19</v>
      </c>
      <c r="D218" s="141">
        <v>0</v>
      </c>
      <c r="E218" s="141">
        <v>4</v>
      </c>
      <c r="F218" s="141">
        <v>0</v>
      </c>
      <c r="G218" s="141">
        <v>4</v>
      </c>
      <c r="H218" s="134">
        <v>-100</v>
      </c>
      <c r="I218" s="134">
        <v>-100</v>
      </c>
      <c r="J218" s="134">
        <v>0</v>
      </c>
      <c r="K218" s="134">
        <v>0</v>
      </c>
      <c r="L218" s="134">
        <v>0.05</v>
      </c>
      <c r="M218" s="134">
        <v>0.05</v>
      </c>
      <c r="N218" s="55"/>
      <c r="O218" s="55"/>
    </row>
    <row r="219" spans="1:15">
      <c r="A219" s="134">
        <v>178</v>
      </c>
      <c r="B219" s="134" t="s">
        <v>402</v>
      </c>
      <c r="C219" s="134" t="s">
        <v>19</v>
      </c>
      <c r="D219" s="141">
        <v>0</v>
      </c>
      <c r="E219" s="141">
        <v>4</v>
      </c>
      <c r="F219" s="141">
        <v>0</v>
      </c>
      <c r="G219" s="141">
        <v>4</v>
      </c>
      <c r="H219" s="134">
        <v>-100</v>
      </c>
      <c r="I219" s="134">
        <v>-100</v>
      </c>
      <c r="J219" s="134">
        <v>0</v>
      </c>
      <c r="K219" s="134">
        <v>0</v>
      </c>
      <c r="L219" s="134">
        <v>0.05</v>
      </c>
      <c r="M219" s="134">
        <v>0.05</v>
      </c>
      <c r="N219" s="55"/>
      <c r="O219" s="55"/>
    </row>
    <row r="220" spans="1:15">
      <c r="A220" s="134">
        <v>179</v>
      </c>
      <c r="B220" s="134" t="s">
        <v>396</v>
      </c>
      <c r="C220" s="134" t="s">
        <v>19</v>
      </c>
      <c r="D220" s="141">
        <v>0</v>
      </c>
      <c r="E220" s="141">
        <v>4</v>
      </c>
      <c r="F220" s="141">
        <v>0</v>
      </c>
      <c r="G220" s="141">
        <v>4</v>
      </c>
      <c r="H220" s="134">
        <v>-100</v>
      </c>
      <c r="I220" s="134">
        <v>-100</v>
      </c>
      <c r="J220" s="134">
        <v>0</v>
      </c>
      <c r="K220" s="134">
        <v>0</v>
      </c>
      <c r="L220" s="134">
        <v>0.05</v>
      </c>
      <c r="M220" s="134">
        <v>0.05</v>
      </c>
      <c r="N220" s="55"/>
      <c r="O220" s="55"/>
    </row>
    <row r="221" spans="1:15">
      <c r="A221" s="134">
        <v>180</v>
      </c>
      <c r="B221" s="134" t="s">
        <v>356</v>
      </c>
      <c r="C221" s="134" t="s">
        <v>19</v>
      </c>
      <c r="D221" s="141">
        <v>0</v>
      </c>
      <c r="E221" s="141">
        <v>3</v>
      </c>
      <c r="F221" s="141">
        <v>0</v>
      </c>
      <c r="G221" s="141">
        <v>3</v>
      </c>
      <c r="H221" s="134">
        <v>-100</v>
      </c>
      <c r="I221" s="134">
        <v>-100</v>
      </c>
      <c r="J221" s="134">
        <v>0</v>
      </c>
      <c r="K221" s="134">
        <v>0</v>
      </c>
      <c r="L221" s="134">
        <v>0.04</v>
      </c>
      <c r="M221" s="134">
        <v>0.04</v>
      </c>
      <c r="N221" s="55"/>
      <c r="O221" s="55"/>
    </row>
    <row r="222" spans="1:15">
      <c r="A222" s="134">
        <v>181</v>
      </c>
      <c r="B222" s="134" t="s">
        <v>640</v>
      </c>
      <c r="C222" s="134" t="s">
        <v>19</v>
      </c>
      <c r="D222" s="141">
        <v>0</v>
      </c>
      <c r="E222" s="141">
        <v>3</v>
      </c>
      <c r="F222" s="141">
        <v>0</v>
      </c>
      <c r="G222" s="141">
        <v>3</v>
      </c>
      <c r="H222" s="134">
        <v>-100</v>
      </c>
      <c r="I222" s="134">
        <v>-100</v>
      </c>
      <c r="J222" s="134">
        <v>0</v>
      </c>
      <c r="K222" s="134">
        <v>0</v>
      </c>
      <c r="L222" s="134">
        <v>0.04</v>
      </c>
      <c r="M222" s="134">
        <v>0.04</v>
      </c>
      <c r="N222" s="55"/>
      <c r="O222" s="55"/>
    </row>
    <row r="223" spans="1:15" hidden="1">
      <c r="A223" s="134">
        <v>182</v>
      </c>
      <c r="B223" s="134" t="s">
        <v>958</v>
      </c>
      <c r="C223" s="134" t="s">
        <v>20</v>
      </c>
      <c r="D223" s="141">
        <v>0</v>
      </c>
      <c r="E223" s="141">
        <v>3</v>
      </c>
      <c r="F223" s="141">
        <v>0</v>
      </c>
      <c r="G223" s="141">
        <v>3</v>
      </c>
      <c r="H223" s="134">
        <v>-100</v>
      </c>
      <c r="I223" s="134">
        <v>-100</v>
      </c>
      <c r="J223" s="134">
        <v>0</v>
      </c>
      <c r="K223" s="134">
        <v>0</v>
      </c>
      <c r="L223" s="134">
        <v>0.04</v>
      </c>
      <c r="M223" s="134">
        <v>0.04</v>
      </c>
      <c r="N223" s="55"/>
      <c r="O223" s="55"/>
    </row>
    <row r="224" spans="1:15" hidden="1">
      <c r="A224" s="134">
        <v>183</v>
      </c>
      <c r="B224" s="134" t="s">
        <v>960</v>
      </c>
      <c r="C224" s="134" t="s">
        <v>20</v>
      </c>
      <c r="D224" s="141">
        <v>0</v>
      </c>
      <c r="E224" s="141">
        <v>3</v>
      </c>
      <c r="F224" s="141">
        <v>0</v>
      </c>
      <c r="G224" s="141">
        <v>3</v>
      </c>
      <c r="H224" s="134">
        <v>-100</v>
      </c>
      <c r="I224" s="134">
        <v>-100</v>
      </c>
      <c r="J224" s="134">
        <v>0</v>
      </c>
      <c r="K224" s="134">
        <v>0</v>
      </c>
      <c r="L224" s="134">
        <v>0.04</v>
      </c>
      <c r="M224" s="134">
        <v>0.04</v>
      </c>
      <c r="N224" s="55"/>
      <c r="O224" s="55"/>
    </row>
    <row r="225" spans="1:15">
      <c r="A225" s="134">
        <v>184</v>
      </c>
      <c r="B225" s="134" t="s">
        <v>127</v>
      </c>
      <c r="C225" s="134" t="s">
        <v>19</v>
      </c>
      <c r="D225" s="141">
        <v>0</v>
      </c>
      <c r="E225" s="141">
        <v>2</v>
      </c>
      <c r="F225" s="141">
        <v>0</v>
      </c>
      <c r="G225" s="141">
        <v>2</v>
      </c>
      <c r="H225" s="134">
        <v>-100</v>
      </c>
      <c r="I225" s="134">
        <v>-100</v>
      </c>
      <c r="J225" s="134">
        <v>0</v>
      </c>
      <c r="K225" s="134">
        <v>0</v>
      </c>
      <c r="L225" s="134">
        <v>0.03</v>
      </c>
      <c r="M225" s="134">
        <v>0.03</v>
      </c>
      <c r="N225" s="55"/>
      <c r="O225" s="55"/>
    </row>
    <row r="226" spans="1:15">
      <c r="A226" s="134">
        <v>185</v>
      </c>
      <c r="B226" s="134" t="s">
        <v>394</v>
      </c>
      <c r="C226" s="134" t="s">
        <v>19</v>
      </c>
      <c r="D226" s="141">
        <v>0</v>
      </c>
      <c r="E226" s="141">
        <v>2</v>
      </c>
      <c r="F226" s="141">
        <v>0</v>
      </c>
      <c r="G226" s="141">
        <v>2</v>
      </c>
      <c r="H226" s="134">
        <v>-100</v>
      </c>
      <c r="I226" s="134">
        <v>-100</v>
      </c>
      <c r="J226" s="134">
        <v>0</v>
      </c>
      <c r="K226" s="134">
        <v>0</v>
      </c>
      <c r="L226" s="134">
        <v>0.03</v>
      </c>
      <c r="M226" s="134">
        <v>0.03</v>
      </c>
      <c r="N226" s="55"/>
      <c r="O226" s="55"/>
    </row>
    <row r="227" spans="1:15">
      <c r="A227" s="134">
        <v>186</v>
      </c>
      <c r="B227" s="134" t="s">
        <v>612</v>
      </c>
      <c r="C227" s="134" t="s">
        <v>19</v>
      </c>
      <c r="D227" s="141">
        <v>0</v>
      </c>
      <c r="E227" s="141">
        <v>2</v>
      </c>
      <c r="F227" s="141">
        <v>0</v>
      </c>
      <c r="G227" s="141">
        <v>2</v>
      </c>
      <c r="H227" s="134">
        <v>-100</v>
      </c>
      <c r="I227" s="134">
        <v>-100</v>
      </c>
      <c r="J227" s="134">
        <v>0</v>
      </c>
      <c r="K227" s="134">
        <v>0</v>
      </c>
      <c r="L227" s="134">
        <v>0.03</v>
      </c>
      <c r="M227" s="134">
        <v>0.03</v>
      </c>
      <c r="N227" s="55"/>
      <c r="O227" s="55"/>
    </row>
    <row r="228" spans="1:15" hidden="1">
      <c r="A228" s="134">
        <v>187</v>
      </c>
      <c r="B228" s="134" t="s">
        <v>646</v>
      </c>
      <c r="C228" s="134" t="s">
        <v>20</v>
      </c>
      <c r="D228" s="141">
        <v>0</v>
      </c>
      <c r="E228" s="141">
        <v>2</v>
      </c>
      <c r="F228" s="141">
        <v>0</v>
      </c>
      <c r="G228" s="141">
        <v>2</v>
      </c>
      <c r="H228" s="134">
        <v>-100</v>
      </c>
      <c r="I228" s="134">
        <v>-100</v>
      </c>
      <c r="J228" s="134">
        <v>0</v>
      </c>
      <c r="K228" s="134">
        <v>0</v>
      </c>
      <c r="L228" s="134">
        <v>0.03</v>
      </c>
      <c r="M228" s="134">
        <v>0.03</v>
      </c>
      <c r="N228" s="55"/>
      <c r="O228" s="55"/>
    </row>
    <row r="229" spans="1:15">
      <c r="A229" s="134">
        <v>188</v>
      </c>
      <c r="B229" s="134" t="s">
        <v>403</v>
      </c>
      <c r="C229" s="134" t="s">
        <v>19</v>
      </c>
      <c r="D229" s="141">
        <v>0</v>
      </c>
      <c r="E229" s="141">
        <v>2</v>
      </c>
      <c r="F229" s="141">
        <v>0</v>
      </c>
      <c r="G229" s="141">
        <v>2</v>
      </c>
      <c r="H229" s="134">
        <v>-100</v>
      </c>
      <c r="I229" s="134">
        <v>-100</v>
      </c>
      <c r="J229" s="134">
        <v>0</v>
      </c>
      <c r="K229" s="134">
        <v>0</v>
      </c>
      <c r="L229" s="134">
        <v>0.03</v>
      </c>
      <c r="M229" s="134">
        <v>0.03</v>
      </c>
    </row>
    <row r="230" spans="1:15">
      <c r="A230" s="134">
        <v>189</v>
      </c>
      <c r="B230" s="134" t="s">
        <v>407</v>
      </c>
      <c r="C230" s="134" t="s">
        <v>19</v>
      </c>
      <c r="D230" s="141">
        <v>0</v>
      </c>
      <c r="E230" s="141">
        <v>1</v>
      </c>
      <c r="F230" s="141">
        <v>0</v>
      </c>
      <c r="G230" s="141">
        <v>1</v>
      </c>
      <c r="H230" s="134">
        <v>-100</v>
      </c>
      <c r="I230" s="134">
        <v>-100</v>
      </c>
      <c r="J230" s="134">
        <v>0</v>
      </c>
      <c r="K230" s="134">
        <v>0</v>
      </c>
      <c r="L230" s="134">
        <v>0.01</v>
      </c>
      <c r="M230" s="134">
        <v>0.01</v>
      </c>
    </row>
    <row r="231" spans="1:15">
      <c r="A231" s="134">
        <v>190</v>
      </c>
      <c r="B231" s="134" t="s">
        <v>339</v>
      </c>
      <c r="C231" s="134" t="s">
        <v>19</v>
      </c>
      <c r="D231" s="141">
        <v>0</v>
      </c>
      <c r="E231" s="141">
        <v>1</v>
      </c>
      <c r="F231" s="141">
        <v>0</v>
      </c>
      <c r="G231" s="141">
        <v>1</v>
      </c>
      <c r="H231" s="134">
        <v>-100</v>
      </c>
      <c r="I231" s="134">
        <v>-100</v>
      </c>
      <c r="J231" s="134">
        <v>0</v>
      </c>
      <c r="K231" s="134">
        <v>0</v>
      </c>
      <c r="L231" s="134">
        <v>0.01</v>
      </c>
      <c r="M231" s="134">
        <v>0.01</v>
      </c>
    </row>
    <row r="232" spans="1:15">
      <c r="A232" s="134">
        <v>191</v>
      </c>
      <c r="B232" s="134" t="s">
        <v>395</v>
      </c>
      <c r="C232" s="134" t="s">
        <v>19</v>
      </c>
      <c r="D232" s="141">
        <v>0</v>
      </c>
      <c r="E232" s="141">
        <v>1</v>
      </c>
      <c r="F232" s="141">
        <v>0</v>
      </c>
      <c r="G232" s="141">
        <v>1</v>
      </c>
      <c r="H232" s="134">
        <v>-100</v>
      </c>
      <c r="I232" s="134">
        <v>-100</v>
      </c>
      <c r="J232" s="134">
        <v>0</v>
      </c>
      <c r="K232" s="134">
        <v>0</v>
      </c>
      <c r="L232" s="134">
        <v>0.01</v>
      </c>
      <c r="M232" s="134">
        <v>0.01</v>
      </c>
    </row>
    <row r="233" spans="1:15">
      <c r="A233" s="134">
        <v>192</v>
      </c>
      <c r="B233" s="134" t="s">
        <v>981</v>
      </c>
      <c r="C233" s="134" t="s">
        <v>19</v>
      </c>
      <c r="D233" s="141">
        <v>0</v>
      </c>
      <c r="E233" s="141">
        <v>1</v>
      </c>
      <c r="F233" s="141">
        <v>0</v>
      </c>
      <c r="G233" s="141">
        <v>1</v>
      </c>
      <c r="H233" s="134">
        <v>-100</v>
      </c>
      <c r="I233" s="134">
        <v>-100</v>
      </c>
      <c r="J233" s="134">
        <v>0</v>
      </c>
      <c r="K233" s="134">
        <v>0</v>
      </c>
      <c r="L233" s="134">
        <v>0.01</v>
      </c>
      <c r="M233" s="134">
        <v>0.01</v>
      </c>
    </row>
    <row r="234" spans="1:15" hidden="1">
      <c r="A234" s="134">
        <v>193</v>
      </c>
      <c r="B234" s="134" t="s">
        <v>979</v>
      </c>
      <c r="C234" s="134" t="s">
        <v>20</v>
      </c>
      <c r="D234" s="141">
        <v>0</v>
      </c>
      <c r="E234" s="141">
        <v>1</v>
      </c>
      <c r="F234" s="141">
        <v>0</v>
      </c>
      <c r="G234" s="141">
        <v>1</v>
      </c>
      <c r="H234" s="134">
        <v>-100</v>
      </c>
      <c r="I234" s="134">
        <v>-100</v>
      </c>
      <c r="J234" s="134">
        <v>0</v>
      </c>
      <c r="K234" s="134">
        <v>0</v>
      </c>
      <c r="L234" s="134">
        <v>0.01</v>
      </c>
      <c r="M234" s="134">
        <v>0.01</v>
      </c>
    </row>
    <row r="235" spans="1:15">
      <c r="A235" s="134">
        <v>194</v>
      </c>
      <c r="B235" s="134" t="s">
        <v>910</v>
      </c>
      <c r="C235" s="134" t="s">
        <v>19</v>
      </c>
      <c r="D235" s="141">
        <v>0</v>
      </c>
      <c r="E235" s="141">
        <v>1</v>
      </c>
      <c r="F235" s="141">
        <v>0</v>
      </c>
      <c r="G235" s="141">
        <v>1</v>
      </c>
      <c r="H235" s="134">
        <v>-100</v>
      </c>
      <c r="I235" s="134">
        <v>-100</v>
      </c>
      <c r="J235" s="134">
        <v>0</v>
      </c>
      <c r="K235" s="134">
        <v>0</v>
      </c>
      <c r="L235" s="134">
        <v>0.01</v>
      </c>
      <c r="M235" s="134">
        <v>0.01</v>
      </c>
    </row>
    <row r="236" spans="1:15" hidden="1">
      <c r="A236" s="134">
        <v>195</v>
      </c>
      <c r="B236" s="134" t="s">
        <v>520</v>
      </c>
      <c r="C236" s="134" t="s">
        <v>20</v>
      </c>
      <c r="D236" s="141">
        <v>0</v>
      </c>
      <c r="E236" s="141">
        <v>1</v>
      </c>
      <c r="F236" s="141">
        <v>0</v>
      </c>
      <c r="G236" s="141">
        <v>1</v>
      </c>
      <c r="H236" s="134">
        <v>-100</v>
      </c>
      <c r="I236" s="134">
        <v>-100</v>
      </c>
      <c r="J236" s="134">
        <v>0</v>
      </c>
      <c r="K236" s="134">
        <v>0</v>
      </c>
      <c r="L236" s="134">
        <v>0.01</v>
      </c>
      <c r="M236" s="134">
        <v>0.01</v>
      </c>
    </row>
    <row r="237" spans="1:15" hidden="1">
      <c r="A237" s="134">
        <v>196</v>
      </c>
      <c r="B237" s="134" t="s">
        <v>216</v>
      </c>
      <c r="C237" s="134" t="s">
        <v>20</v>
      </c>
      <c r="D237" s="141">
        <v>0</v>
      </c>
      <c r="E237" s="141">
        <v>1</v>
      </c>
      <c r="F237" s="141">
        <v>0</v>
      </c>
      <c r="G237" s="141">
        <v>1</v>
      </c>
      <c r="H237" s="134">
        <v>-100</v>
      </c>
      <c r="I237" s="134">
        <v>-100</v>
      </c>
      <c r="J237" s="134">
        <v>0</v>
      </c>
      <c r="K237" s="134">
        <v>0</v>
      </c>
      <c r="L237" s="134">
        <v>0.01</v>
      </c>
      <c r="M237" s="134">
        <v>0.01</v>
      </c>
    </row>
    <row r="238" spans="1:15">
      <c r="A238" s="134"/>
      <c r="B238" s="134" t="s">
        <v>425</v>
      </c>
      <c r="C238" s="134"/>
      <c r="D238" s="141">
        <f>SUBTOTAL(109,getAggRechargeModels619[antalPerioden])</f>
        <v>4092</v>
      </c>
      <c r="E238" s="141">
        <f>SUBTOTAL(109,getAggRechargeModels619[antalFGPeriod])</f>
        <v>3602</v>
      </c>
      <c r="F238" s="141">
        <f>SUBTOTAL(109,getAggRechargeModels619[antalÅret])</f>
        <v>4092</v>
      </c>
      <c r="G238" s="141">
        <f>SUBTOTAL(109,getAggRechargeModels619[antalFGAr])</f>
        <v>3602</v>
      </c>
      <c r="H238" s="136">
        <f>IF(getAggRechargeModels619[[#Totals],[antalFGPeriod]] &gt;0,(getAggRechargeModels619[[#Totals],[antalPerioden]] - getAggRechargeModels619[[#Totals],[antalFGPeriod]] ) / getAggRechargeModels619[[#Totals],[antalFGPeriod]] *100,0)</f>
        <v>13.603553581343697</v>
      </c>
      <c r="I238" s="136">
        <f>IF(getAggRechargeModels619[[#Totals],[antalFGAr]] &gt; 0,( getAggRechargeModels619[[#Totals],[antalÅret]] - getAggRechargeModels619[[#Totals],[antalFGAr]] ) / getAggRechargeModels619[[#Totals],[antalFGAr]] * 100,0)</f>
        <v>13.603553581343697</v>
      </c>
      <c r="J238" s="142">
        <f>IF(getAggModelsPB[[#Totals],[antalPerioden]] &gt; 0,getAggRechargeModels619[[#Totals],[antalPerioden]]  / getAggModelsPB[[#Totals],[antalPerioden]] * 100,0)</f>
        <v>23.840596597529714</v>
      </c>
      <c r="K238" s="142">
        <f>IF(getAggModelsPB[[#Totals],[antalÅret]] &gt; 0,getAggRechargeModels619[[#Totals],[antalÅret]]  / getAggModelsPB[[#Totals],[antalÅret]] * 100,0)</f>
        <v>23.840596597529714</v>
      </c>
      <c r="L238" s="142">
        <f>IF(getAggModelsPB[[#Totals],[antalFGPeriod]] &gt; 0,getAggRechargeModels619[[#Totals],[antalFGPeriod]]  / getAggModelsPB[[#Totals],[antalFGPeriod]] * 100,0)</f>
        <v>24.66954318197384</v>
      </c>
      <c r="M238" s="142">
        <f>IF(getAggModelsPB[[#Totals],[antalFGAr]] &gt; 0,getAggRechargeModels619[[#Totals],[antalFGAr]]  / getAggModelsPB[[#Totals],[antalFGAr]] * 100,0)</f>
        <v>24.66954318197384</v>
      </c>
    </row>
    <row r="239" spans="1:15">
      <c r="A239" s="134"/>
      <c r="B239" s="134"/>
      <c r="C239" s="134"/>
      <c r="D239" s="141"/>
      <c r="E239" s="141"/>
      <c r="F239" s="141"/>
      <c r="G239" s="141"/>
      <c r="H239" s="136"/>
      <c r="I239" s="136"/>
      <c r="J239" s="142"/>
      <c r="K239" s="142"/>
      <c r="L239" s="142"/>
      <c r="M239" s="142"/>
    </row>
    <row r="240" spans="1:15">
      <c r="A240" s="134"/>
      <c r="B240" s="134"/>
      <c r="C240" s="134"/>
      <c r="D240" s="141"/>
      <c r="E240" s="141"/>
      <c r="F240" s="141"/>
      <c r="G240" s="141"/>
      <c r="H240" s="134"/>
      <c r="I240" s="134"/>
      <c r="J240" s="134"/>
      <c r="K240" s="134"/>
      <c r="L240" s="134"/>
      <c r="M240" s="134"/>
    </row>
    <row r="241" spans="1:13">
      <c r="A241" s="134"/>
      <c r="B241" s="134"/>
      <c r="C241" s="134"/>
      <c r="D241" s="141"/>
      <c r="E241" s="141"/>
      <c r="F241" s="141"/>
      <c r="G241" s="141"/>
      <c r="H241" s="134"/>
      <c r="I241" s="134"/>
      <c r="J241" s="134"/>
      <c r="K241" s="134"/>
      <c r="L241" s="134"/>
      <c r="M241" s="134"/>
    </row>
    <row r="242" spans="1:13">
      <c r="A242" s="134"/>
      <c r="B242" s="134"/>
      <c r="C242" s="134"/>
      <c r="D242" s="141"/>
      <c r="E242" s="141"/>
      <c r="F242" s="141"/>
      <c r="G242" s="141"/>
      <c r="H242" s="134"/>
      <c r="I242" s="134"/>
      <c r="J242" s="134"/>
      <c r="K242" s="134"/>
      <c r="L242" s="134"/>
      <c r="M242" s="134"/>
    </row>
    <row r="243" spans="1:13">
      <c r="A243" s="134"/>
      <c r="B243" s="134"/>
      <c r="C243" s="134"/>
      <c r="D243" s="141"/>
      <c r="E243" s="141"/>
      <c r="F243" s="141"/>
      <c r="G243" s="141"/>
      <c r="H243" s="134"/>
      <c r="I243" s="134"/>
      <c r="J243" s="134"/>
      <c r="K243" s="134"/>
      <c r="L243" s="134"/>
      <c r="M243" s="134"/>
    </row>
    <row r="244" spans="1:13">
      <c r="A244" s="134"/>
      <c r="B244" s="134"/>
      <c r="C244" s="134"/>
      <c r="D244" s="141"/>
      <c r="E244" s="141"/>
      <c r="F244" s="141"/>
      <c r="G244" s="141"/>
      <c r="H244" s="134"/>
      <c r="I244" s="134"/>
      <c r="J244" s="134"/>
      <c r="K244" s="134"/>
      <c r="L244" s="134"/>
      <c r="M244" s="134"/>
    </row>
    <row r="245" spans="1:13">
      <c r="A245" s="134"/>
      <c r="B245" s="134"/>
      <c r="C245" s="134"/>
      <c r="D245" s="141"/>
      <c r="E245" s="141"/>
      <c r="F245" s="141"/>
      <c r="G245" s="141"/>
      <c r="H245" s="134"/>
      <c r="I245" s="134"/>
      <c r="J245" s="134"/>
      <c r="K245" s="134"/>
      <c r="L245" s="134"/>
      <c r="M245" s="134"/>
    </row>
    <row r="246" spans="1:13">
      <c r="A246" s="134"/>
      <c r="B246" s="134"/>
      <c r="C246" s="134"/>
      <c r="D246" s="141"/>
      <c r="E246" s="141"/>
      <c r="F246" s="141"/>
      <c r="G246" s="141"/>
      <c r="H246" s="134"/>
      <c r="I246" s="134"/>
      <c r="J246" s="134"/>
      <c r="K246" s="134"/>
      <c r="L246" s="134"/>
      <c r="M246" s="134"/>
    </row>
    <row r="247" spans="1:13">
      <c r="A247" s="134"/>
      <c r="B247" s="134"/>
      <c r="C247" s="134"/>
      <c r="D247" s="141"/>
      <c r="E247" s="141"/>
      <c r="F247" s="141"/>
      <c r="G247" s="141"/>
      <c r="H247" s="134"/>
      <c r="I247" s="134"/>
      <c r="J247" s="134"/>
      <c r="K247" s="134"/>
      <c r="L247" s="134"/>
      <c r="M247" s="134"/>
    </row>
    <row r="248" spans="1:13">
      <c r="A248" s="134"/>
      <c r="B248" s="134"/>
      <c r="C248" s="134"/>
      <c r="D248" s="141"/>
      <c r="E248" s="141"/>
      <c r="F248" s="141"/>
      <c r="G248" s="141"/>
      <c r="H248" s="134"/>
      <c r="I248" s="134"/>
      <c r="J248" s="134"/>
      <c r="K248" s="134"/>
      <c r="L248" s="134"/>
      <c r="M248" s="134"/>
    </row>
    <row r="249" spans="1:13">
      <c r="A249" s="134"/>
      <c r="B249" s="134"/>
      <c r="C249" s="134"/>
      <c r="D249" s="141"/>
      <c r="E249" s="141"/>
      <c r="F249" s="141"/>
      <c r="G249" s="141"/>
      <c r="H249" s="134"/>
      <c r="I249" s="134"/>
      <c r="J249" s="134"/>
      <c r="K249" s="134"/>
      <c r="L249" s="134"/>
      <c r="M249" s="134"/>
    </row>
    <row r="250" spans="1:13">
      <c r="A250" s="134"/>
      <c r="B250" s="134"/>
      <c r="C250" s="134"/>
      <c r="D250" s="141"/>
      <c r="E250" s="141"/>
      <c r="F250" s="141"/>
      <c r="G250" s="141"/>
      <c r="H250" s="134"/>
      <c r="I250" s="134"/>
      <c r="J250" s="134"/>
      <c r="K250" s="134"/>
      <c r="L250" s="134"/>
      <c r="M250" s="134"/>
    </row>
    <row r="251" spans="1:13">
      <c r="A251" s="134"/>
      <c r="B251" s="134"/>
      <c r="C251" s="134"/>
      <c r="D251" s="141"/>
      <c r="E251" s="141"/>
      <c r="F251" s="141"/>
      <c r="G251" s="141"/>
      <c r="H251" s="134"/>
      <c r="I251" s="134"/>
      <c r="J251" s="134"/>
      <c r="K251" s="134"/>
      <c r="L251" s="134"/>
      <c r="M251" s="134"/>
    </row>
    <row r="252" spans="1:13">
      <c r="A252" s="134"/>
      <c r="B252" s="134"/>
      <c r="C252" s="134"/>
      <c r="D252" s="141"/>
      <c r="E252" s="141"/>
      <c r="F252" s="141"/>
      <c r="G252" s="141"/>
      <c r="H252" s="134"/>
      <c r="I252" s="134"/>
      <c r="J252" s="134"/>
      <c r="K252" s="134"/>
      <c r="L252" s="134"/>
      <c r="M252" s="134"/>
    </row>
    <row r="253" spans="1:13">
      <c r="A253" s="134"/>
      <c r="B253" s="134"/>
      <c r="C253" s="134"/>
      <c r="D253" s="141"/>
      <c r="E253" s="141"/>
      <c r="F253" s="141"/>
      <c r="G253" s="141"/>
      <c r="H253" s="134"/>
      <c r="I253" s="134"/>
      <c r="J253" s="134"/>
      <c r="K253" s="134"/>
      <c r="L253" s="134"/>
      <c r="M253" s="134"/>
    </row>
    <row r="254" spans="1:13">
      <c r="A254" s="134"/>
      <c r="B254" s="134"/>
      <c r="C254" s="134"/>
      <c r="D254" s="141"/>
      <c r="E254" s="141"/>
      <c r="F254" s="141"/>
      <c r="G254" s="141"/>
      <c r="H254" s="134"/>
      <c r="I254" s="134"/>
      <c r="J254" s="134"/>
      <c r="K254" s="134"/>
      <c r="L254" s="134"/>
      <c r="M254" s="134"/>
    </row>
    <row r="255" spans="1:13">
      <c r="A255" s="134"/>
      <c r="B255" s="134"/>
      <c r="C255" s="134"/>
      <c r="D255" s="141"/>
      <c r="E255" s="141"/>
      <c r="F255" s="141"/>
      <c r="G255" s="141"/>
      <c r="H255" s="134"/>
      <c r="I255" s="134"/>
      <c r="J255" s="134"/>
      <c r="K255" s="134"/>
      <c r="L255" s="134"/>
      <c r="M255" s="134"/>
    </row>
    <row r="256" spans="1:13">
      <c r="A256" s="134"/>
      <c r="B256" s="134"/>
      <c r="C256" s="134"/>
      <c r="D256" s="141"/>
      <c r="E256" s="141"/>
      <c r="F256" s="141"/>
      <c r="G256" s="141"/>
      <c r="H256" s="134"/>
      <c r="I256" s="134"/>
      <c r="J256" s="134"/>
      <c r="K256" s="134"/>
      <c r="L256" s="134"/>
      <c r="M256" s="134"/>
    </row>
    <row r="257" spans="1:13">
      <c r="A257" s="134"/>
      <c r="B257" s="134"/>
      <c r="C257" s="134"/>
      <c r="D257" s="141"/>
      <c r="E257" s="141"/>
      <c r="F257" s="141"/>
      <c r="G257" s="141"/>
      <c r="H257" s="134"/>
      <c r="I257" s="134"/>
      <c r="J257" s="134"/>
      <c r="K257" s="134"/>
      <c r="L257" s="134"/>
      <c r="M257" s="134"/>
    </row>
    <row r="258" spans="1:13">
      <c r="A258" s="134"/>
      <c r="B258" s="134"/>
      <c r="C258" s="134"/>
      <c r="D258" s="141"/>
      <c r="E258" s="141"/>
      <c r="F258" s="141"/>
      <c r="G258" s="141"/>
      <c r="H258" s="134"/>
      <c r="I258" s="134"/>
      <c r="J258" s="134"/>
      <c r="K258" s="134"/>
      <c r="L258" s="134"/>
      <c r="M258" s="134"/>
    </row>
    <row r="259" spans="1:13">
      <c r="A259" s="134"/>
      <c r="B259" s="134"/>
      <c r="C259" s="134"/>
      <c r="D259" s="141"/>
      <c r="E259" s="141"/>
      <c r="F259" s="141"/>
      <c r="G259" s="141"/>
      <c r="H259" s="134"/>
      <c r="I259" s="134"/>
      <c r="J259" s="134"/>
      <c r="K259" s="134"/>
      <c r="L259" s="134"/>
      <c r="M259" s="134"/>
    </row>
    <row r="260" spans="1:13">
      <c r="A260" s="134"/>
      <c r="B260" s="134"/>
      <c r="C260" s="134"/>
      <c r="D260" s="141"/>
      <c r="E260" s="141"/>
      <c r="F260" s="141"/>
      <c r="G260" s="141"/>
      <c r="H260" s="134"/>
      <c r="I260" s="134"/>
      <c r="J260" s="134"/>
      <c r="K260" s="134"/>
      <c r="L260" s="134"/>
      <c r="M260" s="134"/>
    </row>
    <row r="261" spans="1:13">
      <c r="A261" s="134"/>
      <c r="B261" s="134"/>
      <c r="C261" s="134"/>
      <c r="D261" s="141"/>
      <c r="E261" s="141"/>
      <c r="F261" s="141"/>
      <c r="G261" s="141"/>
      <c r="H261" s="134"/>
      <c r="I261" s="134"/>
      <c r="J261" s="134"/>
      <c r="K261" s="134"/>
      <c r="L261" s="134"/>
      <c r="M261" s="134"/>
    </row>
    <row r="262" spans="1:13">
      <c r="A262" s="134"/>
      <c r="B262" s="134"/>
      <c r="C262" s="134"/>
      <c r="D262" s="141"/>
      <c r="E262" s="141"/>
      <c r="F262" s="141"/>
      <c r="G262" s="141"/>
      <c r="H262" s="134"/>
      <c r="I262" s="134"/>
      <c r="J262" s="134"/>
      <c r="K262" s="134"/>
      <c r="L262" s="134"/>
      <c r="M262" s="134"/>
    </row>
    <row r="263" spans="1:13">
      <c r="A263" s="134"/>
      <c r="B263" s="134"/>
      <c r="C263" s="134"/>
      <c r="D263" s="141"/>
      <c r="E263" s="141"/>
      <c r="F263" s="141"/>
      <c r="G263" s="141"/>
      <c r="H263" s="134"/>
      <c r="I263" s="134"/>
      <c r="J263" s="134"/>
      <c r="K263" s="134"/>
      <c r="L263" s="134"/>
      <c r="M263" s="134"/>
    </row>
    <row r="264" spans="1:13">
      <c r="A264" s="134"/>
      <c r="B264" s="134"/>
      <c r="C264" s="134"/>
      <c r="D264" s="141"/>
      <c r="E264" s="141"/>
      <c r="F264" s="141"/>
      <c r="G264" s="141"/>
      <c r="H264" s="134"/>
      <c r="I264" s="134"/>
      <c r="J264" s="134"/>
      <c r="K264" s="134"/>
      <c r="L264" s="134"/>
      <c r="M264" s="134"/>
    </row>
    <row r="265" spans="1:13">
      <c r="A265" s="134"/>
      <c r="B265" s="134"/>
      <c r="C265" s="134"/>
      <c r="D265" s="141"/>
      <c r="E265" s="141"/>
      <c r="F265" s="141"/>
      <c r="G265" s="141"/>
      <c r="H265" s="134"/>
      <c r="I265" s="134"/>
      <c r="J265" s="134"/>
      <c r="K265" s="134"/>
      <c r="L265" s="134"/>
      <c r="M265" s="134"/>
    </row>
    <row r="266" spans="1:13">
      <c r="A266" s="134"/>
      <c r="B266" s="134"/>
      <c r="C266" s="134"/>
      <c r="D266" s="141"/>
      <c r="E266" s="141"/>
      <c r="F266" s="141"/>
      <c r="G266" s="141"/>
      <c r="H266" s="134"/>
      <c r="I266" s="134"/>
      <c r="J266" s="134"/>
      <c r="K266" s="134"/>
      <c r="L266" s="134"/>
      <c r="M266" s="134"/>
    </row>
    <row r="267" spans="1:13">
      <c r="A267" s="134"/>
      <c r="B267" s="134"/>
      <c r="C267" s="134"/>
      <c r="D267" s="141"/>
      <c r="E267" s="141"/>
      <c r="F267" s="141"/>
      <c r="G267" s="141"/>
      <c r="H267" s="134"/>
      <c r="I267" s="134"/>
      <c r="J267" s="134"/>
      <c r="K267" s="134"/>
      <c r="L267" s="134"/>
      <c r="M267" s="134"/>
    </row>
    <row r="268" spans="1:13">
      <c r="A268" s="134"/>
      <c r="B268" s="134"/>
      <c r="C268" s="134"/>
      <c r="D268" s="141"/>
      <c r="E268" s="141"/>
      <c r="F268" s="141"/>
      <c r="G268" s="141"/>
      <c r="H268" s="134"/>
      <c r="I268" s="134"/>
      <c r="J268" s="134"/>
      <c r="K268" s="134"/>
      <c r="L268" s="134"/>
      <c r="M268" s="134"/>
    </row>
    <row r="269" spans="1:13">
      <c r="A269" s="134"/>
      <c r="B269" s="134"/>
      <c r="C269" s="134"/>
      <c r="D269" s="141"/>
      <c r="E269" s="141"/>
      <c r="F269" s="141"/>
      <c r="G269" s="141"/>
      <c r="H269" s="134"/>
      <c r="I269" s="134"/>
      <c r="J269" s="134"/>
      <c r="K269" s="134"/>
      <c r="L269" s="134"/>
      <c r="M269" s="134"/>
    </row>
    <row r="270" spans="1:13">
      <c r="A270" s="134"/>
      <c r="B270" s="134"/>
      <c r="C270" s="134"/>
      <c r="D270" s="141"/>
      <c r="E270" s="141"/>
      <c r="F270" s="141"/>
      <c r="G270" s="141"/>
      <c r="H270" s="134"/>
      <c r="I270" s="134"/>
      <c r="J270" s="134"/>
      <c r="K270" s="134"/>
      <c r="L270" s="134"/>
      <c r="M270" s="134"/>
    </row>
    <row r="271" spans="1:13">
      <c r="A271" s="134"/>
      <c r="B271" s="134"/>
      <c r="C271" s="134"/>
      <c r="D271" s="141"/>
      <c r="E271" s="141"/>
      <c r="F271" s="141"/>
      <c r="G271" s="141"/>
      <c r="H271" s="134"/>
      <c r="I271" s="134"/>
      <c r="J271" s="134"/>
      <c r="K271" s="134"/>
      <c r="L271" s="134"/>
      <c r="M271" s="134"/>
    </row>
    <row r="272" spans="1:13">
      <c r="A272" s="134"/>
      <c r="B272" s="134"/>
      <c r="C272" s="134"/>
      <c r="D272" s="141"/>
      <c r="E272" s="141"/>
      <c r="F272" s="141"/>
      <c r="G272" s="141"/>
      <c r="H272" s="134"/>
      <c r="I272" s="134"/>
      <c r="J272" s="134"/>
      <c r="K272" s="134"/>
      <c r="L272" s="134"/>
      <c r="M272" s="134"/>
    </row>
    <row r="273" spans="1:13">
      <c r="A273" s="134"/>
      <c r="B273" s="134"/>
      <c r="C273" s="134"/>
      <c r="D273" s="141"/>
      <c r="E273" s="141"/>
      <c r="F273" s="141"/>
      <c r="G273" s="141"/>
      <c r="H273" s="134"/>
      <c r="I273" s="134"/>
      <c r="J273" s="134"/>
      <c r="K273" s="134"/>
      <c r="L273" s="134"/>
      <c r="M273" s="134"/>
    </row>
    <row r="274" spans="1:13">
      <c r="A274" s="134"/>
      <c r="B274" s="134"/>
      <c r="C274" s="134"/>
      <c r="D274" s="141"/>
      <c r="E274" s="141"/>
      <c r="F274" s="141"/>
      <c r="G274" s="141"/>
      <c r="H274" s="134"/>
      <c r="I274" s="134"/>
      <c r="J274" s="134"/>
      <c r="K274" s="134"/>
      <c r="L274" s="134"/>
      <c r="M274" s="134"/>
    </row>
    <row r="275" spans="1:13">
      <c r="A275" s="134"/>
      <c r="B275" s="134"/>
      <c r="C275" s="134"/>
      <c r="D275" s="141"/>
      <c r="E275" s="141"/>
      <c r="F275" s="141"/>
      <c r="G275" s="141"/>
      <c r="H275" s="134"/>
      <c r="I275" s="134"/>
      <c r="J275" s="134"/>
      <c r="K275" s="134"/>
      <c r="L275" s="134"/>
      <c r="M275" s="134"/>
    </row>
    <row r="276" spans="1:13">
      <c r="A276" s="134"/>
      <c r="B276" s="134"/>
      <c r="C276" s="134"/>
      <c r="D276" s="141"/>
      <c r="E276" s="141"/>
      <c r="F276" s="141"/>
      <c r="G276" s="141"/>
      <c r="H276" s="134"/>
      <c r="I276" s="134"/>
      <c r="J276" s="134"/>
      <c r="K276" s="134"/>
      <c r="L276" s="134"/>
      <c r="M276" s="134"/>
    </row>
    <row r="277" spans="1:13">
      <c r="A277" s="134"/>
      <c r="B277" s="134"/>
      <c r="C277" s="134"/>
      <c r="D277" s="141"/>
      <c r="E277" s="141"/>
      <c r="F277" s="141"/>
      <c r="G277" s="141"/>
      <c r="H277" s="134"/>
      <c r="I277" s="134"/>
      <c r="J277" s="134"/>
      <c r="K277" s="134"/>
      <c r="L277" s="134"/>
      <c r="M277" s="134"/>
    </row>
    <row r="278" spans="1:13">
      <c r="A278" s="134"/>
      <c r="B278" s="134"/>
      <c r="C278" s="134"/>
      <c r="D278" s="141"/>
      <c r="E278" s="141"/>
      <c r="F278" s="141"/>
      <c r="G278" s="141"/>
      <c r="H278" s="134"/>
      <c r="I278" s="134"/>
      <c r="J278" s="134"/>
      <c r="K278" s="134"/>
      <c r="L278" s="134"/>
      <c r="M278" s="134"/>
    </row>
    <row r="279" spans="1:13">
      <c r="A279" s="134"/>
      <c r="B279" s="134"/>
      <c r="C279" s="134"/>
      <c r="D279" s="141"/>
      <c r="E279" s="141"/>
      <c r="F279" s="141"/>
      <c r="G279" s="141"/>
      <c r="H279" s="134"/>
      <c r="I279" s="134"/>
      <c r="J279" s="134"/>
      <c r="K279" s="134"/>
      <c r="L279" s="134"/>
      <c r="M279" s="134"/>
    </row>
    <row r="280" spans="1:13">
      <c r="A280" s="134"/>
      <c r="B280" s="134"/>
      <c r="C280" s="134"/>
      <c r="D280" s="141"/>
      <c r="E280" s="141"/>
      <c r="F280" s="141"/>
      <c r="G280" s="141"/>
      <c r="H280" s="134"/>
      <c r="I280" s="134"/>
      <c r="J280" s="134"/>
      <c r="K280" s="134"/>
      <c r="L280" s="134"/>
      <c r="M280" s="134"/>
    </row>
    <row r="281" spans="1:13">
      <c r="A281" s="134"/>
      <c r="B281" s="134"/>
      <c r="C281" s="134"/>
      <c r="D281" s="141"/>
      <c r="E281" s="141"/>
      <c r="F281" s="141"/>
      <c r="G281" s="141"/>
      <c r="H281" s="134"/>
      <c r="I281" s="134"/>
      <c r="J281" s="134"/>
      <c r="K281" s="134"/>
      <c r="L281" s="134"/>
      <c r="M281" s="134"/>
    </row>
    <row r="282" spans="1:13">
      <c r="A282" s="134"/>
      <c r="B282" s="134"/>
      <c r="C282" s="134"/>
      <c r="D282" s="141"/>
      <c r="E282" s="141"/>
      <c r="F282" s="141"/>
      <c r="G282" s="141"/>
      <c r="H282" s="134"/>
      <c r="I282" s="134"/>
      <c r="J282" s="134"/>
      <c r="K282" s="134"/>
      <c r="L282" s="134"/>
      <c r="M282" s="134"/>
    </row>
    <row r="289" spans="1:1">
      <c r="A289" t="s">
        <v>620</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2024-02-01T07:30:54Z</cp:lastPrinted>
  <dcterms:created xsi:type="dcterms:W3CDTF">2020-01-13T13:32:32Z</dcterms:created>
  <dcterms:modified xsi:type="dcterms:W3CDTF">2024-02-01T07:31:38Z</dcterms:modified>
</cp:coreProperties>
</file>